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780" windowWidth="19590" windowHeight="12915" tabRatio="564" activeTab="0"/>
  </bookViews>
  <sheets>
    <sheet name="Log" sheetId="1" r:id="rId1"/>
    <sheet name="Tie Breakers" sheetId="2" r:id="rId2"/>
  </sheets>
  <definedNames>
    <definedName name="_xlnm.Print_Titles" localSheetId="0">'Log'!$6:$6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<sst xmlns="http://schemas.openxmlformats.org/spreadsheetml/2006/main" count="1945" uniqueCount="630">
  <si>
    <t>Dallas</t>
  </si>
  <si>
    <t>Rural</t>
  </si>
  <si>
    <t>Dennis Hoover</t>
  </si>
  <si>
    <t>General</t>
  </si>
  <si>
    <t>Williamson</t>
  </si>
  <si>
    <t>Urban</t>
  </si>
  <si>
    <t>Austin</t>
  </si>
  <si>
    <t>San Antonio</t>
  </si>
  <si>
    <t>Bexar</t>
  </si>
  <si>
    <t>Tamea Dula</t>
  </si>
  <si>
    <t>Mark Musemeche</t>
  </si>
  <si>
    <t>Houston</t>
  </si>
  <si>
    <t>Ofelia Elizondo</t>
  </si>
  <si>
    <t>Harris</t>
  </si>
  <si>
    <t>Tuscany Park at Arcola</t>
  </si>
  <si>
    <t>Arcola</t>
  </si>
  <si>
    <t>Fort Bend</t>
  </si>
  <si>
    <t>Wichita</t>
  </si>
  <si>
    <t>Brian McGeady</t>
  </si>
  <si>
    <t>Chris Applequist</t>
  </si>
  <si>
    <t>Sara Reidy</t>
  </si>
  <si>
    <t>Brownsville</t>
  </si>
  <si>
    <t>Cameron</t>
  </si>
  <si>
    <t>Doak Brown</t>
  </si>
  <si>
    <t>Hidalgo</t>
  </si>
  <si>
    <t>El Paso</t>
  </si>
  <si>
    <t>Ben Dempsey</t>
  </si>
  <si>
    <t>Hughes Springs</t>
  </si>
  <si>
    <t>Cass</t>
  </si>
  <si>
    <t>Sharon Laurence</t>
  </si>
  <si>
    <t>David Mark Koogler</t>
  </si>
  <si>
    <t>Zach Cavender</t>
  </si>
  <si>
    <t>Waller</t>
  </si>
  <si>
    <t>Becky Villanueva</t>
  </si>
  <si>
    <t>Fort Worth</t>
  </si>
  <si>
    <t>Denton</t>
  </si>
  <si>
    <t>Miranda Ashline</t>
  </si>
  <si>
    <t>Corpus Christi</t>
  </si>
  <si>
    <t>Nueces</t>
  </si>
  <si>
    <t>Travis</t>
  </si>
  <si>
    <t>Demetrio Jimenez</t>
  </si>
  <si>
    <t>Pellicano Palms</t>
  </si>
  <si>
    <t>San Angelo</t>
  </si>
  <si>
    <t>Tom Green</t>
  </si>
  <si>
    <t>Rick Sims</t>
  </si>
  <si>
    <t>Stuart Shaw</t>
  </si>
  <si>
    <t>Casey Bump</t>
  </si>
  <si>
    <t>Johnson</t>
  </si>
  <si>
    <t>Tarrant</t>
  </si>
  <si>
    <t>Doak D. Brown</t>
  </si>
  <si>
    <t>Leslie Holleman</t>
  </si>
  <si>
    <t>Donna Rickenbacker</t>
  </si>
  <si>
    <t>Will Henderson</t>
  </si>
  <si>
    <t>Dan Allgeier</t>
  </si>
  <si>
    <t>Washington</t>
  </si>
  <si>
    <t>Hays</t>
  </si>
  <si>
    <t>Will Markel</t>
  </si>
  <si>
    <t>Bell</t>
  </si>
  <si>
    <t>Carrie Adams</t>
  </si>
  <si>
    <t>New Braunfels</t>
  </si>
  <si>
    <t>Comal</t>
  </si>
  <si>
    <t>Ben Mitchell</t>
  </si>
  <si>
    <t>Alyssa Carpenter</t>
  </si>
  <si>
    <t>Lubbock</t>
  </si>
  <si>
    <t>Steve Lollis</t>
  </si>
  <si>
    <t>Bowie</t>
  </si>
  <si>
    <t>Whitehouse</t>
  </si>
  <si>
    <t>Smith</t>
  </si>
  <si>
    <t>Roy Lopez</t>
  </si>
  <si>
    <t>Tim Lang</t>
  </si>
  <si>
    <t>Thomas Huth</t>
  </si>
  <si>
    <t>Brazoria</t>
  </si>
  <si>
    <t>Grayson</t>
  </si>
  <si>
    <t>Lisa Stephens</t>
  </si>
  <si>
    <t>Colby Denison</t>
  </si>
  <si>
    <t>Midland</t>
  </si>
  <si>
    <t>Manish Verma</t>
  </si>
  <si>
    <t>Janice Degollado</t>
  </si>
  <si>
    <t>Sean Brady</t>
  </si>
  <si>
    <t>Henry Flores</t>
  </si>
  <si>
    <t>Dan Wilson</t>
  </si>
  <si>
    <t>Len Vilicic</t>
  </si>
  <si>
    <t>Collin</t>
  </si>
  <si>
    <t>Total Units</t>
  </si>
  <si>
    <t>Total HTCs Requested</t>
  </si>
  <si>
    <t>Texas Department of Housing and Community Affairs</t>
  </si>
  <si>
    <t>Application Number</t>
  </si>
  <si>
    <t>Region</t>
  </si>
  <si>
    <t>Rural/Urban</t>
  </si>
  <si>
    <t>Zip Code</t>
  </si>
  <si>
    <t>Address</t>
  </si>
  <si>
    <t>Development name</t>
  </si>
  <si>
    <t>City</t>
  </si>
  <si>
    <t>County</t>
  </si>
  <si>
    <t>LI Units</t>
  </si>
  <si>
    <t>Market Rate Units</t>
  </si>
  <si>
    <t>Non-Profit Set-Aside</t>
  </si>
  <si>
    <t>USDA Set-Aside</t>
  </si>
  <si>
    <t>At-Risk Set-Aside</t>
  </si>
  <si>
    <t>Quartile of median HH Income</t>
  </si>
  <si>
    <t>Census Tract</t>
  </si>
  <si>
    <t>Estimated Amount Available to Allocate</t>
  </si>
  <si>
    <t>TOTALS</t>
  </si>
  <si>
    <t>Applicant contact name</t>
  </si>
  <si>
    <t>Second contact name</t>
  </si>
  <si>
    <t>1300 Courtland Road</t>
  </si>
  <si>
    <t>Atlanta</t>
  </si>
  <si>
    <t>x</t>
  </si>
  <si>
    <t>Marlon Sullivan</t>
  </si>
  <si>
    <t>Winston Sullivan</t>
  </si>
  <si>
    <t>4th Q</t>
  </si>
  <si>
    <t>Linden</t>
  </si>
  <si>
    <t>3rd Q</t>
  </si>
  <si>
    <t>Northside Manor Apartments</t>
  </si>
  <si>
    <t>Angleton</t>
  </si>
  <si>
    <t>2nd Q</t>
  </si>
  <si>
    <t>Athens</t>
  </si>
  <si>
    <t>Henderson</t>
  </si>
  <si>
    <t>Melissa Baughman</t>
  </si>
  <si>
    <t>McKinney Manor Apartments</t>
  </si>
  <si>
    <t>506 N. McKinney</t>
  </si>
  <si>
    <t>Sweeny</t>
  </si>
  <si>
    <t>Nan Boyles</t>
  </si>
  <si>
    <t>New Haven</t>
  </si>
  <si>
    <t>1st Q</t>
  </si>
  <si>
    <t>Gilbert M. Piette</t>
  </si>
  <si>
    <t>Roger Canales</t>
  </si>
  <si>
    <t>Michael C. Duffy</t>
  </si>
  <si>
    <t>Georgetown</t>
  </si>
  <si>
    <t>Paul Moore</t>
  </si>
  <si>
    <t>Arthur J. Schuldt, Jr.</t>
  </si>
  <si>
    <t>Melissa Adami</t>
  </si>
  <si>
    <t>Kerrville</t>
  </si>
  <si>
    <t>Kerr</t>
  </si>
  <si>
    <t>Robison Terrace</t>
  </si>
  <si>
    <t>1010 Dan Haskins Way</t>
  </si>
  <si>
    <t>Texarkana</t>
  </si>
  <si>
    <t>Murray Calhoun</t>
  </si>
  <si>
    <t>Devin Baker</t>
  </si>
  <si>
    <t>James E. Washburn</t>
  </si>
  <si>
    <t>The Cottages at Main</t>
  </si>
  <si>
    <t>417 East Main Street</t>
  </si>
  <si>
    <t>Bullard</t>
  </si>
  <si>
    <t>The Village at Main</t>
  </si>
  <si>
    <t>Northwest Apartments</t>
  </si>
  <si>
    <t>Kim Youngquist</t>
  </si>
  <si>
    <t>Lavaca</t>
  </si>
  <si>
    <t>Emily Lindsey</t>
  </si>
  <si>
    <t>Justin Zimmerman</t>
  </si>
  <si>
    <t>Audrey Watson</t>
  </si>
  <si>
    <t>Wolfforth</t>
  </si>
  <si>
    <t>Hawks Landing Apartments</t>
  </si>
  <si>
    <t>1550 West Johnson Road</t>
  </si>
  <si>
    <t>Iowa Park</t>
  </si>
  <si>
    <t>Randy Stevenson</t>
  </si>
  <si>
    <t>Cisco</t>
  </si>
  <si>
    <t>Eastland</t>
  </si>
  <si>
    <t>Mike Sugrue</t>
  </si>
  <si>
    <t>Colette Whitehorse</t>
  </si>
  <si>
    <t>Rowlett</t>
  </si>
  <si>
    <t>Bradley E. Forslund</t>
  </si>
  <si>
    <t>Palladium Anna</t>
  </si>
  <si>
    <t>Anna</t>
  </si>
  <si>
    <t>Ryan Combs</t>
  </si>
  <si>
    <t>Jervon Harris</t>
  </si>
  <si>
    <t>John Palmer</t>
  </si>
  <si>
    <t>Garland</t>
  </si>
  <si>
    <t>Emanuel H. Glockzin, Jr.</t>
  </si>
  <si>
    <t>Plano</t>
  </si>
  <si>
    <t>Cedar Creek Villas</t>
  </si>
  <si>
    <t>Rusk</t>
  </si>
  <si>
    <t>Mabank</t>
  </si>
  <si>
    <t>Reserve at Hagan</t>
  </si>
  <si>
    <t>606 Highway 110 S</t>
  </si>
  <si>
    <t>Cliff Snyder</t>
  </si>
  <si>
    <t>urban</t>
  </si>
  <si>
    <t>Four Corners</t>
  </si>
  <si>
    <t>Liz Wong</t>
  </si>
  <si>
    <t>Stacy Swisher</t>
  </si>
  <si>
    <t>David R. Rhodes</t>
  </si>
  <si>
    <t>Belton</t>
  </si>
  <si>
    <t>Rolling Hills</t>
  </si>
  <si>
    <t>1700 block of N. Adams St.</t>
  </si>
  <si>
    <t>Fredericksburg</t>
  </si>
  <si>
    <t>Gillespie</t>
  </si>
  <si>
    <t>Lucille Jones</t>
  </si>
  <si>
    <t>Debra Guerrero</t>
  </si>
  <si>
    <t>Bradford McMurray</t>
  </si>
  <si>
    <t>Borgfeld Manor</t>
  </si>
  <si>
    <t>Cibolo</t>
  </si>
  <si>
    <t>Guadalupe</t>
  </si>
  <si>
    <t>Indian Lake Apartment Homes</t>
  </si>
  <si>
    <t>Indian Lake</t>
  </si>
  <si>
    <t>Solano Park Apartments</t>
  </si>
  <si>
    <t>Edinburg</t>
  </si>
  <si>
    <t>Hidalgo Vista</t>
  </si>
  <si>
    <t>Corner of McColl Rd &amp; Dicker Rd</t>
  </si>
  <si>
    <t>Alexandra Dawson</t>
  </si>
  <si>
    <t>Tim Smith</t>
  </si>
  <si>
    <t>Ike Monty</t>
  </si>
  <si>
    <t>Keystone Place</t>
  </si>
  <si>
    <t>1331 Pullman Dr</t>
  </si>
  <si>
    <t>Emerald Manor</t>
  </si>
  <si>
    <t>Horizon City</t>
  </si>
  <si>
    <t>Total Applications</t>
  </si>
  <si>
    <t>NC</t>
  </si>
  <si>
    <r>
      <t xml:space="preserve">Target Population </t>
    </r>
    <r>
      <rPr>
        <sz val="10"/>
        <color indexed="8"/>
        <rFont val="Calibri"/>
        <family val="2"/>
      </rPr>
      <t>(Supp. Hsg. = Supportive Housing)</t>
    </r>
  </si>
  <si>
    <t>Kelly Garrett</t>
  </si>
  <si>
    <t>At-Risk/USDA Set-Aside</t>
  </si>
  <si>
    <t>Best Possible Score</t>
  </si>
  <si>
    <t>Review Status</t>
  </si>
  <si>
    <t>(1) Points                                         Requested/Awarded</t>
  </si>
  <si>
    <r>
      <t>(2) Gov't Support (</t>
    </r>
    <r>
      <rPr>
        <b/>
        <sz val="9"/>
        <color indexed="8"/>
        <rFont val="Calibri"/>
        <family val="2"/>
      </rPr>
      <t>§11.9(d)(1))</t>
    </r>
  </si>
  <si>
    <r>
      <t>(3) QCP (</t>
    </r>
    <r>
      <rPr>
        <b/>
        <sz val="9"/>
        <color indexed="8"/>
        <rFont val="Calibri"/>
        <family val="2"/>
      </rPr>
      <t>§11.9(d)(4))</t>
    </r>
  </si>
  <si>
    <r>
      <t>(4) State Rep (</t>
    </r>
    <r>
      <rPr>
        <b/>
        <sz val="9"/>
        <color indexed="8"/>
        <rFont val="Calibri"/>
        <family val="2"/>
      </rPr>
      <t>§11.9(d)(5))</t>
    </r>
  </si>
  <si>
    <r>
      <t>(5) Community Orgs (</t>
    </r>
    <r>
      <rPr>
        <b/>
        <sz val="9"/>
        <color indexed="8"/>
        <rFont val="Calibri"/>
        <family val="2"/>
      </rPr>
      <t>§11.9(d)(6))</t>
    </r>
  </si>
  <si>
    <t xml:space="preserve">(6) Adjustments </t>
  </si>
  <si>
    <t>C</t>
  </si>
  <si>
    <t>Application #</t>
  </si>
  <si>
    <t>Sub-region</t>
  </si>
  <si>
    <r>
      <t xml:space="preserve">Points Requested under </t>
    </r>
    <r>
      <rPr>
        <sz val="11"/>
        <color indexed="8"/>
        <rFont val="Cambria"/>
        <family val="1"/>
      </rPr>
      <t>§11.9(c)(4) Opportunity Index</t>
    </r>
  </si>
  <si>
    <t>Distance to nearest HTC-assisted Development</t>
  </si>
  <si>
    <t>TDHCA # of nearest HTC-assisted Development</t>
  </si>
  <si>
    <t>Review completed and staff confirmed points requested under §11.9(c)(4) Opportunity Index</t>
  </si>
  <si>
    <t>Yes</t>
  </si>
  <si>
    <t>N</t>
  </si>
  <si>
    <t>HTC request/
UW Amount</t>
  </si>
  <si>
    <t>Construction Type: A/R=Acquisition/Rehab, RC=Reconstruction, NC=New Construction</t>
  </si>
  <si>
    <t>RC</t>
  </si>
  <si>
    <t>A/R</t>
  </si>
  <si>
    <t xml:space="preserve">Construction Type
</t>
  </si>
  <si>
    <t>HOME/TCAP request</t>
  </si>
  <si>
    <t>PPR Status</t>
  </si>
  <si>
    <t>Previous Participation Review (PPR) Status: A=Approved, C=Approved w/ Conditions, P=Pending Approval, N=No Review</t>
  </si>
  <si>
    <t>Spring Creek Apartments</t>
  </si>
  <si>
    <t>Remaining Tax Credits Available for Allocation</t>
  </si>
  <si>
    <t>Total Number of Applications Recommended for Award</t>
  </si>
  <si>
    <t>A</t>
  </si>
  <si>
    <t>P</t>
  </si>
  <si>
    <t>2016 Competitive 9% Housing Tax Credit Program</t>
  </si>
  <si>
    <t>Version date: July 28, 2016</t>
  </si>
  <si>
    <t>EHA Liberty Village</t>
  </si>
  <si>
    <t>4500 Block of South Veterans Boulevard</t>
  </si>
  <si>
    <t>Rudy Ramirez</t>
  </si>
  <si>
    <t>305 Highway 8 North</t>
  </si>
  <si>
    <t>1741/1745 E. Henderson Rd.</t>
  </si>
  <si>
    <t>Hyde Estates</t>
  </si>
  <si>
    <t>Near SEC of FM 3470 and Cunningham Rd.</t>
  </si>
  <si>
    <t>Killeen</t>
  </si>
  <si>
    <t>Lisa A. Perata</t>
  </si>
  <si>
    <t>Lake Ridge Apartments</t>
  </si>
  <si>
    <t>401 North Third St.</t>
  </si>
  <si>
    <t>Kaufman</t>
  </si>
  <si>
    <t>Elderly Limitation</t>
  </si>
  <si>
    <t>Hughes Springs Seniors Apartments</t>
  </si>
  <si>
    <t>202 Keasler Street #33</t>
  </si>
  <si>
    <t>Elderly Preference</t>
  </si>
  <si>
    <t>Jay Rabalais</t>
  </si>
  <si>
    <t>Salazar Park</t>
  </si>
  <si>
    <t>S side of Montana Ave, E of N Yarbrough Dr</t>
  </si>
  <si>
    <t>Richard Seges</t>
  </si>
  <si>
    <t>James J.Fieser</t>
  </si>
  <si>
    <t>417 East Main</t>
  </si>
  <si>
    <t>Jamie Fieser</t>
  </si>
  <si>
    <t>Gonzalez Apartments</t>
  </si>
  <si>
    <t>SWQ Montana Ave and Rich Beem Blvd</t>
  </si>
  <si>
    <t>Balcones Haus Apartments</t>
  </si>
  <si>
    <t xml:space="preserve">246 Loma Vista </t>
  </si>
  <si>
    <t>Tracey Fine</t>
  </si>
  <si>
    <t>Matt Rule</t>
  </si>
  <si>
    <t xml:space="preserve">Crosby Meadows Apartments </t>
  </si>
  <si>
    <t>304 Krenek</t>
  </si>
  <si>
    <t>Crosby</t>
  </si>
  <si>
    <t>SEA RAD Oaks</t>
  </si>
  <si>
    <t>11607 Sierra Nevada Ln. / 6119 Valiant Circle</t>
  </si>
  <si>
    <t>Robert Onion</t>
  </si>
  <si>
    <t>Patrick Howard</t>
  </si>
  <si>
    <t>Timber Ridge Apartments</t>
  </si>
  <si>
    <t>427 Martin Street</t>
  </si>
  <si>
    <t>Chandler</t>
  </si>
  <si>
    <t>Parklane Villas</t>
  </si>
  <si>
    <t>NEC of Hosea Street and Riggs Street</t>
  </si>
  <si>
    <t>Brenham</t>
  </si>
  <si>
    <t>Marvalette Hunter</t>
  </si>
  <si>
    <t>Thomas Jones</t>
  </si>
  <si>
    <t>NE Quadrant of State Hwy 31 &amp; US 175</t>
  </si>
  <si>
    <t>Pleasanton Seniors Apartments</t>
  </si>
  <si>
    <t>1547 Jami Drive</t>
  </si>
  <si>
    <t>Pleasanton</t>
  </si>
  <si>
    <t>Atascosa</t>
  </si>
  <si>
    <t>Orange Grove Seniors Apartments</t>
  </si>
  <si>
    <t>520 East Orange Street</t>
  </si>
  <si>
    <t>Orange Grove</t>
  </si>
  <si>
    <t>Jim Wells</t>
  </si>
  <si>
    <t>Samuel Place Apartments</t>
  </si>
  <si>
    <t>4315 Carroll Lane</t>
  </si>
  <si>
    <t>Beverly Jones</t>
  </si>
  <si>
    <t>Plateau Ridge Apartments</t>
  </si>
  <si>
    <t>701 McAnear Street</t>
  </si>
  <si>
    <t>Cleburne</t>
  </si>
  <si>
    <t>Wheatley Family Apartments Phase II</t>
  </si>
  <si>
    <t>1411 N. Walters St. to be 1223 N. Walters St.</t>
  </si>
  <si>
    <t xml:space="preserve">Louis Bernardy              </t>
  </si>
  <si>
    <t>Shady Shores Apartments</t>
  </si>
  <si>
    <t>401 N. Shady Shores Road</t>
  </si>
  <si>
    <t>Lake Dallas</t>
  </si>
  <si>
    <t>Pelican Landing</t>
  </si>
  <si>
    <t>3916 Winnie Street</t>
  </si>
  <si>
    <t>Galveston</t>
  </si>
  <si>
    <t>Valerie Garrity</t>
  </si>
  <si>
    <t>Andrew Bailey</t>
  </si>
  <si>
    <t>Leatherwood Terrace Apartments</t>
  </si>
  <si>
    <t>105 Ellen May Road</t>
  </si>
  <si>
    <t>Yoakum</t>
  </si>
  <si>
    <t>Country Place Apartments</t>
  </si>
  <si>
    <t>Estimated At-Risk Available to Allocate</t>
  </si>
  <si>
    <t>Conrad Lofts</t>
  </si>
  <si>
    <t>191 W. 6th Street</t>
  </si>
  <si>
    <t>Plainview</t>
  </si>
  <si>
    <t>Hale</t>
  </si>
  <si>
    <t>ADR</t>
  </si>
  <si>
    <t>Daniel Sailler III</t>
  </si>
  <si>
    <t>Jake Mooney</t>
  </si>
  <si>
    <t>SilverLeaf at Panhandle</t>
  </si>
  <si>
    <t>Proposed at the 500 block of Pecan St</t>
  </si>
  <si>
    <t>Panahandle</t>
  </si>
  <si>
    <t>Carson</t>
  </si>
  <si>
    <t>J. Michael Sugrue</t>
  </si>
  <si>
    <t>Villas on Flint</t>
  </si>
  <si>
    <t>SW of 12th Street and Flint Avenue</t>
  </si>
  <si>
    <t>The Villas</t>
  </si>
  <si>
    <t>5804 98th St</t>
  </si>
  <si>
    <t>Paul Stell</t>
  </si>
  <si>
    <t>Drew Gray</t>
  </si>
  <si>
    <t>Estacado Place</t>
  </si>
  <si>
    <t>10000 block Upland Ave.</t>
  </si>
  <si>
    <t>The Residence at Coulter</t>
  </si>
  <si>
    <t>5000 Blk of S. Coulter St</t>
  </si>
  <si>
    <t>Amarillo</t>
  </si>
  <si>
    <t>Randall</t>
  </si>
  <si>
    <t>Laguna Hotel Lofts</t>
  </si>
  <si>
    <t>400 Conrad Hilton Boulevard &amp; 105 E 7th Street</t>
  </si>
  <si>
    <t>The Residence at Autumn Sage</t>
  </si>
  <si>
    <t>S side of Autumn Sage Dr, W of Rebecca Ln</t>
  </si>
  <si>
    <t>Abilene</t>
  </si>
  <si>
    <t>Taylor</t>
  </si>
  <si>
    <t>Bluff View Senior Village</t>
  </si>
  <si>
    <t>NW corner of US-175 Frontage Rd &amp; FM 741</t>
  </si>
  <si>
    <t>Crandall</t>
  </si>
  <si>
    <t>Brian Kimes</t>
  </si>
  <si>
    <t>Homestead Prairie Senior Apartments</t>
  </si>
  <si>
    <t>1007 N. FM 156</t>
  </si>
  <si>
    <t>Ponder</t>
  </si>
  <si>
    <t>Teresa Bowyer</t>
  </si>
  <si>
    <t>Janna Darmon</t>
  </si>
  <si>
    <t>Gala at Melissa</t>
  </si>
  <si>
    <t>N side of E Melissa Rd, appx 1/3 mile E of Sam Rayburn Hwy</t>
  </si>
  <si>
    <t>Melissa</t>
  </si>
  <si>
    <t>The Veranda Townhomes</t>
  </si>
  <si>
    <t>Northeast corner of Coit and McDermott Rd</t>
  </si>
  <si>
    <t>Jean Brown</t>
  </si>
  <si>
    <t>Avondale Farms Seniors</t>
  </si>
  <si>
    <t>SEC of US-287 and Avondale Haslet Road</t>
  </si>
  <si>
    <t>Brandon Bolin</t>
  </si>
  <si>
    <t>Clyde Mackey</t>
  </si>
  <si>
    <t>Harmon Senior Villas</t>
  </si>
  <si>
    <t>12801 Harmon Road (9.023 acres)</t>
  </si>
  <si>
    <t>David Yarden</t>
  </si>
  <si>
    <t>Lisa Davis</t>
  </si>
  <si>
    <t>Provision at Melissa</t>
  </si>
  <si>
    <t>N side of E Melissa Rd, app 1/4 mile E of Sam Rayburn Hwy</t>
  </si>
  <si>
    <t>Palladium Garland</t>
  </si>
  <si>
    <t>SE quadrant of Interstate 30 and Northwest Drive</t>
  </si>
  <si>
    <t>Thomas E. Huth</t>
  </si>
  <si>
    <t>The Standard at Boswell Marketplace</t>
  </si>
  <si>
    <t>NW Corner of N. Old Decatur Road and Bailey Boswell Road</t>
  </si>
  <si>
    <t>Daniel Smith</t>
  </si>
  <si>
    <t>Matt Vruggink</t>
  </si>
  <si>
    <t>Parkdale Villas</t>
  </si>
  <si>
    <t>3909 W FM 120 &amp; N Parkdale Rd</t>
  </si>
  <si>
    <t>Denison</t>
  </si>
  <si>
    <t>Blue Line Lofts</t>
  </si>
  <si>
    <t>3737 Melcer Drive</t>
  </si>
  <si>
    <t>Churchill at Golden Triangle Community</t>
  </si>
  <si>
    <t>Appx 11000 block of Metroport Way (S Timberland Blvd E 11000 block IH35W)</t>
  </si>
  <si>
    <t>NE quadrant of Highway 5 and 422</t>
  </si>
  <si>
    <t>Elderly Max:  $4,797,271</t>
  </si>
  <si>
    <t>Abbington Place</t>
  </si>
  <si>
    <t>Highway 110 at Sherry Drive</t>
  </si>
  <si>
    <t>William J. Rea, Jr.</t>
  </si>
  <si>
    <t>Whitehouse Senior Village</t>
  </si>
  <si>
    <t>W-end Leamington Spa @ Ruby Ln</t>
  </si>
  <si>
    <t>Jeremy Mears</t>
  </si>
  <si>
    <t>Stonebridge of Paris</t>
  </si>
  <si>
    <t>4800 Lamar Ave</t>
  </si>
  <si>
    <t>Paris</t>
  </si>
  <si>
    <t>Lamar</t>
  </si>
  <si>
    <t>Chaz Garrett</t>
  </si>
  <si>
    <t>Havens of Reno</t>
  </si>
  <si>
    <t>NW corner of Highway 82 and Mansfield Road</t>
  </si>
  <si>
    <t>Reno</t>
  </si>
  <si>
    <t>The Estates of Lindale</t>
  </si>
  <si>
    <t>County Rd 463, Across from Lindale Jr High School</t>
  </si>
  <si>
    <t>Lindale</t>
  </si>
  <si>
    <t>Suzanne Rhodes</t>
  </si>
  <si>
    <t>SE Corner of W. Ragley St. &amp; S. Standish St.</t>
  </si>
  <si>
    <t>Clifton E. Phillips</t>
  </si>
  <si>
    <t>Bob Colvard</t>
  </si>
  <si>
    <t>Stonebridge of Whitehouse</t>
  </si>
  <si>
    <t>Northwest of Highway 110 and Leisure Lane</t>
  </si>
  <si>
    <t>Nash Senior Village</t>
  </si>
  <si>
    <t>S side New Boston Rd B/T Clark Ln &amp; Collins Rd</t>
  </si>
  <si>
    <t>Nash</t>
  </si>
  <si>
    <t>Heritage Pines</t>
  </si>
  <si>
    <t>SWC of New Boston Road and Elliot Lane</t>
  </si>
  <si>
    <t>Mill Town Seniors</t>
  </si>
  <si>
    <t>S. 16th St. at W. Avenue P</t>
  </si>
  <si>
    <t>Silsbee</t>
  </si>
  <si>
    <t>Hardin</t>
  </si>
  <si>
    <t>North Pine Villas</t>
  </si>
  <si>
    <t>980 N. Pine Street</t>
  </si>
  <si>
    <t>Kountze</t>
  </si>
  <si>
    <t xml:space="preserve">Hardin </t>
  </si>
  <si>
    <t>Lumberton Senior Village</t>
  </si>
  <si>
    <t>NW Corner of Mitchell Rd and Smith League Rd</t>
  </si>
  <si>
    <t>Lumberton</t>
  </si>
  <si>
    <t>Hamilton Crossing</t>
  </si>
  <si>
    <t>31600-31700 block of Waller Tomball Rd</t>
  </si>
  <si>
    <t>Brooks Manor Apartments</t>
  </si>
  <si>
    <t>444 Jefferson Street</t>
  </si>
  <si>
    <t>West Columbia</t>
  </si>
  <si>
    <t>Justin Unger</t>
  </si>
  <si>
    <t>Waverly Village</t>
  </si>
  <si>
    <t>255 Tafelski Road</t>
  </si>
  <si>
    <t>New Waverly</t>
  </si>
  <si>
    <t>Walker</t>
  </si>
  <si>
    <t>Magnolia Gardens</t>
  </si>
  <si>
    <t>NEC of Skinner Lane and W. Bellfort Street</t>
  </si>
  <si>
    <t>Richmond</t>
  </si>
  <si>
    <t>Vita Goodell</t>
  </si>
  <si>
    <t>Stephan Fairfield</t>
  </si>
  <si>
    <t>Mariposa Apartment Homes at Clear Creek</t>
  </si>
  <si>
    <t>Appx SE quadrant of Hwy 528 and NASA Blvd</t>
  </si>
  <si>
    <t>Webster</t>
  </si>
  <si>
    <t>Huntington at Sienna Ranch</t>
  </si>
  <si>
    <t>6300 block Sienna Ranch Road</t>
  </si>
  <si>
    <t>Sienna Plantation, CDP</t>
  </si>
  <si>
    <t>Gala at Four Corners</t>
  </si>
  <si>
    <t>N Side of Old Richmond Rd, W of Sugarbridge Tr</t>
  </si>
  <si>
    <t>Ruben Esqueda</t>
  </si>
  <si>
    <t>Provision at West Bellfort</t>
  </si>
  <si>
    <t>S side of W Bellfort Ave at Belknap Rd</t>
  </si>
  <si>
    <t>The Standard on the Creek</t>
  </si>
  <si>
    <t>SE Corner of Fall Creek Preserve Dr and Sam Houston Pkwy</t>
  </si>
  <si>
    <t>Post Oak Road</t>
  </si>
  <si>
    <t>Sarah Andre</t>
  </si>
  <si>
    <t>Chapman Crossings</t>
  </si>
  <si>
    <t>N. Side of Water Works Blvd., E. of N. Sam Houston Pkwy E.</t>
  </si>
  <si>
    <t>Houston ETJ</t>
  </si>
  <si>
    <t>Kim Murphy</t>
  </si>
  <si>
    <t>West Oaks Crossing</t>
  </si>
  <si>
    <t>1723 - 1917 Block of Highway 6 South</t>
  </si>
  <si>
    <t>Cypress Creek Apartment Homes at Reed Rd</t>
  </si>
  <si>
    <t>Appx SE quadrant of Reed Rd and Park South View</t>
  </si>
  <si>
    <t>Sphinx at Sims Bayou Villas</t>
  </si>
  <si>
    <t>5300 Airport Blvd.</t>
  </si>
  <si>
    <t>Supportive Housing</t>
  </si>
  <si>
    <t>Vanessa Hardy</t>
  </si>
  <si>
    <t>Elderly Max:  $4,246,883</t>
  </si>
  <si>
    <t>Havens of Hutto</t>
  </si>
  <si>
    <t>SE Corner of County Rd 1660 and County Rd 137</t>
  </si>
  <si>
    <t>Hutto</t>
  </si>
  <si>
    <t>Merritt Starlight</t>
  </si>
  <si>
    <t>14400 Block of Ranch Road 12</t>
  </si>
  <si>
    <t>Wimberley</t>
  </si>
  <si>
    <t>Meadow View Senior Village</t>
  </si>
  <si>
    <t>E side of Carlos G. Parker Blvd N of Justin Ln</t>
  </si>
  <si>
    <t>Merritt Heritage</t>
  </si>
  <si>
    <t>SE Corner of Williams Dr. and Woodlake</t>
  </si>
  <si>
    <t>Joyce McDonald</t>
  </si>
  <si>
    <t>Kaia Pointe</t>
  </si>
  <si>
    <t>Appx 4900 block of Williams Dr, S of Casa Loma Cir</t>
  </si>
  <si>
    <t>Live Oak Apartments</t>
  </si>
  <si>
    <t>4121 Williams Dr</t>
  </si>
  <si>
    <t>Craig Lintner</t>
  </si>
  <si>
    <t>Kathleen Barbaglia</t>
  </si>
  <si>
    <t>Elysium Park</t>
  </si>
  <si>
    <t>3300 Oak Creek Dr</t>
  </si>
  <si>
    <t>Elderly Max:  $1,243,662</t>
  </si>
  <si>
    <t>Rachael Commons</t>
  </si>
  <si>
    <t>435 Little Avenue McGregor, Texas  76657</t>
  </si>
  <si>
    <t>McGregor</t>
  </si>
  <si>
    <t>McLennan</t>
  </si>
  <si>
    <t>Cottages at San Saba</t>
  </si>
  <si>
    <t>206 N. Harkey Street</t>
  </si>
  <si>
    <t>San Saba</t>
  </si>
  <si>
    <t xml:space="preserve">Mark Mayfield </t>
  </si>
  <si>
    <t>The Reserve at Dry Creek</t>
  </si>
  <si>
    <t>Approx. 900 Block of North Old Temple Road</t>
  </si>
  <si>
    <t>Hewitt</t>
  </si>
  <si>
    <t>Janine Sisak</t>
  </si>
  <si>
    <t>Val DeLeon</t>
  </si>
  <si>
    <t>The Estates of Copperas Cove</t>
  </si>
  <si>
    <t>Approx. SE corner of Risen Star Ln</t>
  </si>
  <si>
    <t>Copperas Cove</t>
  </si>
  <si>
    <t>Coryell</t>
  </si>
  <si>
    <t>Santa Fe Place</t>
  </si>
  <si>
    <t>E. Side of S. Pea Ridge Road</t>
  </si>
  <si>
    <t>Temple</t>
  </si>
  <si>
    <t>Todd Wind</t>
  </si>
  <si>
    <t>Richard Haley</t>
  </si>
  <si>
    <t>Commerce Street Apartments</t>
  </si>
  <si>
    <t>Commerce St, appx 300 feet S of Sparta Rd</t>
  </si>
  <si>
    <t>Pixie Stracener</t>
  </si>
  <si>
    <t>Saralita Senior Village</t>
  </si>
  <si>
    <t>1335 Medina Highway East</t>
  </si>
  <si>
    <t>Blake Rue</t>
  </si>
  <si>
    <t>NW of W. Borgfeld Road and Dobie Road</t>
  </si>
  <si>
    <t>The Preserve at Wiederstein</t>
  </si>
  <si>
    <t>SWC of Wiederstein Rd. and FM 3009</t>
  </si>
  <si>
    <t>Schertz</t>
  </si>
  <si>
    <t>Easterling Culebra Apartments</t>
  </si>
  <si>
    <t>9936 Culebra Road</t>
  </si>
  <si>
    <t>Laurel Glen</t>
  </si>
  <si>
    <t>11043 N. Loop 1604</t>
  </si>
  <si>
    <t>Appx 8000 Old Tezel Rd S of Northwest Community Church</t>
  </si>
  <si>
    <t>Megan Garza Oswald</t>
  </si>
  <si>
    <t>Elderly Max:  $1,941,739</t>
  </si>
  <si>
    <t>Bishop Courts</t>
  </si>
  <si>
    <t xml:space="preserve">978 Hwy 77 </t>
  </si>
  <si>
    <t>Bishop</t>
  </si>
  <si>
    <t>Stewart Rutledge</t>
  </si>
  <si>
    <t>Britton Jones</t>
  </si>
  <si>
    <t>Calallen Apartments</t>
  </si>
  <si>
    <t>14800 Northwest Blvd.</t>
  </si>
  <si>
    <t>The Avanti at Calallen</t>
  </si>
  <si>
    <t>11910 Leopard Street</t>
  </si>
  <si>
    <t>Toby Williams</t>
  </si>
  <si>
    <t>NW Corner of Henderson Rd and Old Alice Rd</t>
  </si>
  <si>
    <t>Bill Fisher</t>
  </si>
  <si>
    <t>Lantana Villas</t>
  </si>
  <si>
    <t>S.W. Corner of Royal Ridge Dr. &amp; N. Veterans Blvd.</t>
  </si>
  <si>
    <t>Eagle Pass</t>
  </si>
  <si>
    <t>Maverick</t>
  </si>
  <si>
    <t>Palmera Heights Apartments</t>
  </si>
  <si>
    <t>SW Corner of El Triunfo Rd and Mile 6 West Rd</t>
  </si>
  <si>
    <t>Elsa</t>
  </si>
  <si>
    <t>Brad Shields</t>
  </si>
  <si>
    <t>Sunny K .Philip</t>
  </si>
  <si>
    <t>BAH Taylor Senior Village</t>
  </si>
  <si>
    <t>1617 N. Taylor Rd.</t>
  </si>
  <si>
    <t>Mission</t>
  </si>
  <si>
    <t>Apolonio "Nono" Flores</t>
  </si>
  <si>
    <t xml:space="preserve">Sierra Vista </t>
  </si>
  <si>
    <t>NW quadrant of Owassa Rd. and N. Veterans Blvd.</t>
  </si>
  <si>
    <t>Lopezville CDP</t>
  </si>
  <si>
    <t>Starlight</t>
  </si>
  <si>
    <t xml:space="preserve">SWQ of Alberta and Raul Longoria </t>
  </si>
  <si>
    <t>Murillo</t>
  </si>
  <si>
    <t>Villa Verde Estates</t>
  </si>
  <si>
    <t>Near NEC of W Mile 5 N Rd. and S. Border Ave.</t>
  </si>
  <si>
    <t>Weslaco ETJ</t>
  </si>
  <si>
    <t>Huntington at Brownsville</t>
  </si>
  <si>
    <t>300 block Lorenaly Dr.</t>
  </si>
  <si>
    <t>Alberta Terrace Apartments</t>
  </si>
  <si>
    <t>NEQ Alberta and Shalom</t>
  </si>
  <si>
    <t>Hildalgo</t>
  </si>
  <si>
    <t>SWQ of W. Alberta Rd. &amp; Sugar Rd.</t>
  </si>
  <si>
    <t>Sunshine Village Apartments</t>
  </si>
  <si>
    <t>Tony's Road, East of Paredes Line Road</t>
  </si>
  <si>
    <t>Sunny K. Philip</t>
  </si>
  <si>
    <t>Morrison Place</t>
  </si>
  <si>
    <t>fronting Laredo Road approx. 700' N of Morrison</t>
  </si>
  <si>
    <t>Valery Kedroff</t>
  </si>
  <si>
    <t>Joel Pollack</t>
  </si>
  <si>
    <t>Weslaco Villas</t>
  </si>
  <si>
    <t xml:space="preserve"> 2319 W. Business Highway 83 </t>
  </si>
  <si>
    <t>Weslaco</t>
  </si>
  <si>
    <t>Baxter Lofts</t>
  </si>
  <si>
    <t>106 1/2 South A Street</t>
  </si>
  <si>
    <t>Harlingen</t>
  </si>
  <si>
    <t xml:space="preserve">Casitas Lantana at Inwood </t>
  </si>
  <si>
    <t xml:space="preserve">3954 Dana Avenue </t>
  </si>
  <si>
    <t xml:space="preserve">Cameron </t>
  </si>
  <si>
    <t>Charles N. Mitchell</t>
  </si>
  <si>
    <t xml:space="preserve">Mark Moseley </t>
  </si>
  <si>
    <t>Cantabria Estates Apartments</t>
  </si>
  <si>
    <t>NE Corner of Morrison Rd and Laredo Rd.</t>
  </si>
  <si>
    <t>Daisy Flores</t>
  </si>
  <si>
    <t>Silverleaf at Mason</t>
  </si>
  <si>
    <t>S of Austin Street and E of Ranck Avenue</t>
  </si>
  <si>
    <t>Mason</t>
  </si>
  <si>
    <t>Stonebridge of Lamesa</t>
  </si>
  <si>
    <t>211 NE. 7TH</t>
  </si>
  <si>
    <t>Lamesa</t>
  </si>
  <si>
    <t>Dawson</t>
  </si>
  <si>
    <t>Kirby Park Villas</t>
  </si>
  <si>
    <t xml:space="preserve">SW Corner of 29th and Martin Luther King Blvd. </t>
  </si>
  <si>
    <t>Merritt Monument</t>
  </si>
  <si>
    <t>Leisure Dr. &amp; Rocky Lane</t>
  </si>
  <si>
    <t>Rockview Manor</t>
  </si>
  <si>
    <t>Southeast corner of W Smith St &amp; Boyd St</t>
  </si>
  <si>
    <t>Fort Hancock</t>
  </si>
  <si>
    <t>Hudspeth</t>
  </si>
  <si>
    <t>South Homestead Palms</t>
  </si>
  <si>
    <t>6 Homestead Meadows SO#2 RPL A Lot 5</t>
  </si>
  <si>
    <t>R.L. Bowling, IV</t>
  </si>
  <si>
    <t>River Palms</t>
  </si>
  <si>
    <t>14001 Pebble Hills Blvd.</t>
  </si>
  <si>
    <t>Northeast corner of Horizon Blvd &amp; Rifton Ct</t>
  </si>
  <si>
    <t>Ridgestone Estates</t>
  </si>
  <si>
    <t>11371 Ardelle Dr</t>
  </si>
  <si>
    <t>Corner of Aviation Way off of Pellicano Drive</t>
  </si>
  <si>
    <t>Total Estimated 2016 Credit Ceiling</t>
  </si>
  <si>
    <t>Section 811 Request</t>
  </si>
  <si>
    <t>Underwriting Status</t>
  </si>
  <si>
    <t>Opportunity Index</t>
  </si>
  <si>
    <t>Poverty Rate %</t>
  </si>
  <si>
    <t>Schools Average</t>
  </si>
  <si>
    <t>Linear distance from nearest HTC assisted development</t>
  </si>
  <si>
    <t>~1.33 miles</t>
  </si>
  <si>
    <t>~.79 miles</t>
  </si>
  <si>
    <t>~.53 miles</t>
  </si>
  <si>
    <t>Census Tract Poverty %</t>
  </si>
  <si>
    <t>Schools Score</t>
  </si>
  <si>
    <t>01048</t>
  </si>
  <si>
    <t>Recommended Awards</t>
  </si>
  <si>
    <t>Recommended</t>
  </si>
  <si>
    <t>Award and Waiting List</t>
  </si>
  <si>
    <t>Conditional Recommendation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</si>
</sst>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[$-409]dddd\,\ mmmm\ dd\,\ yyyy"/>
    <numFmt numFmtId="170" formatCode="[$-409]h:mm:ss\ AM/PM"/>
    <numFmt numFmtId="171" formatCode="&quot;$&quot;#,##0.00"/>
    <numFmt numFmtId="172" formatCode="&quot;$&quot;#,##0.000"/>
    <numFmt numFmtId="173" formatCode="&quot;$&quot;#,##0.0000"/>
    <numFmt numFmtId="174" formatCode="&quot;$&quot;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mbria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mbria"/>
      <family val="1"/>
    </font>
    <font>
      <b/>
      <sz val="9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167" fontId="0" fillId="0" borderId="0" xfId="76" applyNumberFormat="1" applyFont="1" applyAlignment="1">
      <alignment horizontal="right" vertical="top"/>
    </xf>
    <xf numFmtId="0" fontId="50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5" fontId="0" fillId="0" borderId="0" xfId="0" applyNumberFormat="1" applyAlignment="1">
      <alignment vertical="top"/>
    </xf>
    <xf numFmtId="0" fontId="55" fillId="8" borderId="10" xfId="0" applyFont="1" applyFill="1" applyBorder="1" applyAlignment="1">
      <alignment horizontal="center" vertical="center" wrapText="1"/>
    </xf>
    <xf numFmtId="49" fontId="55" fillId="8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10" xfId="73" applyFont="1" applyFill="1" applyBorder="1" applyAlignment="1">
      <alignment horizontal="center" textRotation="90" wrapText="1"/>
      <protection/>
    </xf>
    <xf numFmtId="0" fontId="5" fillId="33" borderId="10" xfId="73" applyFont="1" applyFill="1" applyBorder="1" applyAlignment="1">
      <alignment horizontal="center" textRotation="90"/>
      <protection/>
    </xf>
    <xf numFmtId="0" fontId="0" fillId="0" borderId="0" xfId="0" applyAlignment="1">
      <alignment vertical="top"/>
    </xf>
    <xf numFmtId="0" fontId="54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24" fillId="0" borderId="0" xfId="73" applyFont="1" applyFill="1" applyBorder="1" applyAlignment="1">
      <alignment horizontal="left" vertical="top"/>
      <protection/>
    </xf>
    <xf numFmtId="0" fontId="5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4" fillId="0" borderId="0" xfId="73" applyFont="1" applyFill="1" applyBorder="1" applyAlignment="1">
      <alignment horizontal="right" vertical="top"/>
      <protection/>
    </xf>
    <xf numFmtId="0" fontId="56" fillId="0" borderId="0" xfId="0" applyFont="1" applyFill="1" applyAlignment="1">
      <alignment horizontal="center"/>
    </xf>
    <xf numFmtId="2" fontId="56" fillId="0" borderId="0" xfId="0" applyNumberFormat="1" applyFont="1" applyFill="1" applyAlignment="1">
      <alignment horizontal="center"/>
    </xf>
    <xf numFmtId="168" fontId="5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67" fontId="0" fillId="0" borderId="0" xfId="76" applyNumberFormat="1" applyFont="1" applyFill="1" applyAlignment="1">
      <alignment horizontal="center" vertical="top"/>
    </xf>
    <xf numFmtId="0" fontId="48" fillId="0" borderId="0" xfId="0" applyFont="1" applyFill="1" applyBorder="1" applyAlignment="1">
      <alignment horizontal="left" vertical="center"/>
    </xf>
    <xf numFmtId="0" fontId="5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8" fontId="24" fillId="0" borderId="0" xfId="73" applyNumberFormat="1" applyFont="1" applyFill="1" applyBorder="1" applyAlignment="1">
      <alignment horizontal="left" vertical="top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0" fillId="0" borderId="0" xfId="76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/>
    </xf>
    <xf numFmtId="0" fontId="48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168" fontId="48" fillId="0" borderId="12" xfId="0" applyNumberFormat="1" applyFont="1" applyFill="1" applyBorder="1" applyAlignment="1">
      <alignment horizontal="right"/>
    </xf>
    <xf numFmtId="168" fontId="48" fillId="0" borderId="12" xfId="0" applyNumberFormat="1" applyFont="1" applyFill="1" applyBorder="1" applyAlignment="1">
      <alignment horizontal="center"/>
    </xf>
    <xf numFmtId="167" fontId="0" fillId="0" borderId="12" xfId="76" applyNumberFormat="1" applyFont="1" applyFill="1" applyBorder="1" applyAlignment="1">
      <alignment horizontal="center" vertical="top"/>
    </xf>
    <xf numFmtId="0" fontId="48" fillId="34" borderId="13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6" fontId="54" fillId="0" borderId="0" xfId="0" applyNumberFormat="1" applyFont="1" applyAlignment="1">
      <alignment horizontal="center" vertical="top"/>
    </xf>
    <xf numFmtId="0" fontId="54" fillId="0" borderId="0" xfId="0" applyFont="1" applyAlignment="1">
      <alignment horizontal="right" vertical="top"/>
    </xf>
    <xf numFmtId="0" fontId="54" fillId="0" borderId="0" xfId="0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58" fillId="0" borderId="0" xfId="0" applyFont="1" applyBorder="1" applyAlignment="1">
      <alignment vertical="top"/>
    </xf>
    <xf numFmtId="0" fontId="54" fillId="34" borderId="10" xfId="0" applyFont="1" applyFill="1" applyBorder="1" applyAlignment="1">
      <alignment horizontal="center" textRotation="90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textRotation="90"/>
    </xf>
    <xf numFmtId="0" fontId="48" fillId="34" borderId="13" xfId="0" applyFont="1" applyFill="1" applyBorder="1" applyAlignment="1">
      <alignment horizontal="center" textRotation="90"/>
    </xf>
    <xf numFmtId="0" fontId="48" fillId="34" borderId="10" xfId="0" applyFont="1" applyFill="1" applyBorder="1" applyAlignment="1">
      <alignment horizontal="center" textRotation="90"/>
    </xf>
    <xf numFmtId="167" fontId="48" fillId="34" borderId="10" xfId="76" applyNumberFormat="1" applyFont="1" applyFill="1" applyBorder="1" applyAlignment="1">
      <alignment horizontal="center" textRotation="90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vertical="top" textRotation="90"/>
    </xf>
    <xf numFmtId="0" fontId="54" fillId="0" borderId="0" xfId="0" applyFont="1" applyFill="1" applyBorder="1" applyAlignment="1">
      <alignment horizontal="center" vertical="top" textRotation="90"/>
    </xf>
    <xf numFmtId="0" fontId="5" fillId="0" borderId="0" xfId="73" applyFont="1" applyFill="1" applyBorder="1" applyAlignment="1">
      <alignment horizontal="center" vertical="top" textRotation="90"/>
      <protection/>
    </xf>
    <xf numFmtId="167" fontId="54" fillId="0" borderId="0" xfId="76" applyNumberFormat="1" applyFont="1" applyFill="1" applyBorder="1" applyAlignment="1">
      <alignment horizontal="center" vertical="top" textRotation="90"/>
    </xf>
    <xf numFmtId="0" fontId="0" fillId="0" borderId="0" xfId="0" applyFill="1" applyAlignment="1">
      <alignment vertical="top"/>
    </xf>
    <xf numFmtId="0" fontId="0" fillId="35" borderId="0" xfId="0" applyFill="1" applyAlignment="1">
      <alignment/>
    </xf>
    <xf numFmtId="0" fontId="1" fillId="0" borderId="0" xfId="73" applyFont="1" applyFill="1" applyBorder="1" applyAlignment="1">
      <alignment vertical="top"/>
      <protection/>
    </xf>
    <xf numFmtId="5" fontId="24" fillId="0" borderId="0" xfId="49" applyNumberFormat="1" applyFont="1" applyFill="1" applyBorder="1" applyAlignment="1">
      <alignment horizontal="left" vertical="top"/>
    </xf>
    <xf numFmtId="0" fontId="56" fillId="0" borderId="0" xfId="0" applyFont="1" applyFill="1" applyAlignment="1">
      <alignment/>
    </xf>
    <xf numFmtId="168" fontId="57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56" fillId="0" borderId="0" xfId="0" applyNumberFormat="1" applyFont="1" applyFill="1" applyAlignment="1">
      <alignment horizontal="center"/>
    </xf>
    <xf numFmtId="0" fontId="56" fillId="35" borderId="0" xfId="0" applyFont="1" applyFill="1" applyAlignment="1">
      <alignment/>
    </xf>
    <xf numFmtId="0" fontId="56" fillId="0" borderId="0" xfId="0" applyFont="1" applyFill="1" applyAlignment="1">
      <alignment/>
    </xf>
    <xf numFmtId="0" fontId="1" fillId="0" borderId="0" xfId="73" applyFont="1" applyFill="1" applyBorder="1" applyAlignment="1">
      <alignment horizontal="left" vertical="top"/>
      <protection/>
    </xf>
    <xf numFmtId="0" fontId="24" fillId="0" borderId="0" xfId="73" applyFont="1" applyFill="1" applyBorder="1" applyAlignment="1">
      <alignment vertical="top"/>
      <protection/>
    </xf>
    <xf numFmtId="0" fontId="48" fillId="0" borderId="0" xfId="0" applyFont="1" applyFill="1" applyAlignment="1">
      <alignment/>
    </xf>
    <xf numFmtId="166" fontId="0" fillId="0" borderId="0" xfId="49" applyNumberFormat="1" applyFont="1" applyFill="1" applyAlignment="1">
      <alignment/>
    </xf>
    <xf numFmtId="166" fontId="0" fillId="0" borderId="0" xfId="49" applyNumberFormat="1" applyFont="1" applyFill="1" applyAlignment="1">
      <alignment horizontal="center"/>
    </xf>
    <xf numFmtId="166" fontId="48" fillId="0" borderId="0" xfId="49" applyNumberFormat="1" applyFont="1" applyFill="1" applyAlignment="1">
      <alignment/>
    </xf>
    <xf numFmtId="166" fontId="48" fillId="0" borderId="0" xfId="49" applyNumberFormat="1" applyFont="1" applyFill="1" applyAlignment="1">
      <alignment horizontal="center"/>
    </xf>
    <xf numFmtId="167" fontId="48" fillId="0" borderId="0" xfId="76" applyNumberFormat="1" applyFont="1" applyFill="1" applyAlignment="1">
      <alignment horizontal="center" vertical="top"/>
    </xf>
    <xf numFmtId="0" fontId="57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168" fontId="57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/>
    </xf>
    <xf numFmtId="166" fontId="48" fillId="0" borderId="0" xfId="49" applyNumberFormat="1" applyFont="1" applyFill="1" applyBorder="1" applyAlignment="1">
      <alignment/>
    </xf>
    <xf numFmtId="166" fontId="48" fillId="0" borderId="0" xfId="49" applyNumberFormat="1" applyFont="1" applyFill="1" applyBorder="1" applyAlignment="1">
      <alignment horizontal="center"/>
    </xf>
    <xf numFmtId="166" fontId="0" fillId="0" borderId="0" xfId="49" applyNumberFormat="1" applyFont="1" applyFill="1" applyBorder="1" applyAlignment="1">
      <alignment/>
    </xf>
    <xf numFmtId="166" fontId="0" fillId="0" borderId="0" xfId="49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5" fontId="48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48" fillId="34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49" applyFont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59" fillId="34" borderId="1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Currency 2" xfId="51"/>
    <cellStyle name="Currency 3" xfId="52"/>
    <cellStyle name="Currency 4" xfId="53"/>
    <cellStyle name="Currency 4 2" xfId="54"/>
    <cellStyle name="Currency 5" xfId="55"/>
    <cellStyle name="Currency 5 2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4 2" xfId="71"/>
    <cellStyle name="Normal 5" xfId="72"/>
    <cellStyle name="Normal_Sheet1" xfId="73"/>
    <cellStyle name="Note" xfId="74"/>
    <cellStyle name="Output" xfId="75"/>
    <cellStyle name="Percent" xfId="76"/>
    <cellStyle name="Percent 2" xfId="77"/>
    <cellStyle name="Percent 3" xfId="78"/>
    <cellStyle name="Percent 3 2" xfId="79"/>
    <cellStyle name="Percent 4" xfId="80"/>
    <cellStyle name="Percent 4 2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219"/>
  <sheetViews>
    <sheetView showGridLines="0" tabSelected="1" zoomScale="75" zoomScaleNormal="75" workbookViewId="0" topLeftCell="A1">
      <selection activeCell="A5" sqref="A5:B5"/>
    </sheetView>
  </sheetViews>
  <sheetFormatPr defaultColWidth="9.140625" defaultRowHeight="15" outlineLevelRow="1"/>
  <cols>
    <col min="1" max="1" width="9.00390625" style="17" customWidth="1"/>
    <col min="2" max="2" width="27.7109375" style="14" customWidth="1"/>
    <col min="3" max="3" width="40.00390625" style="24" customWidth="1"/>
    <col min="4" max="4" width="14.00390625" style="24" customWidth="1"/>
    <col min="5" max="5" width="11.57421875" style="24" customWidth="1"/>
    <col min="6" max="6" width="7.57421875" style="4" customWidth="1"/>
    <col min="7" max="7" width="4.421875" style="4" customWidth="1"/>
    <col min="8" max="8" width="6.8515625" style="15" customWidth="1"/>
    <col min="9" max="11" width="3.7109375" style="4" customWidth="1"/>
    <col min="12" max="12" width="6.28125" style="4" bestFit="1" customWidth="1"/>
    <col min="13" max="13" width="6.28125" style="4" customWidth="1"/>
    <col min="14" max="14" width="4.28125" style="4" customWidth="1"/>
    <col min="15" max="15" width="6.28125" style="4" customWidth="1"/>
    <col min="16" max="16" width="18.140625" style="4" customWidth="1"/>
    <col min="17" max="17" width="16.140625" style="4" customWidth="1"/>
    <col min="18" max="18" width="4.57421875" style="24" customWidth="1"/>
    <col min="19" max="19" width="3.57421875" style="24" bestFit="1" customWidth="1"/>
    <col min="20" max="20" width="18.57421875" style="24" customWidth="1"/>
    <col min="21" max="21" width="16.7109375" style="24" customWidth="1"/>
    <col min="22" max="23" width="5.8515625" style="24" customWidth="1"/>
    <col min="24" max="24" width="5.7109375" style="24" customWidth="1"/>
    <col min="25" max="26" width="5.8515625" style="24" customWidth="1"/>
    <col min="27" max="27" width="4.140625" style="4" customWidth="1"/>
    <col min="28" max="28" width="5.140625" style="4" bestFit="1" customWidth="1"/>
    <col min="29" max="30" width="4.140625" style="4" customWidth="1"/>
    <col min="31" max="31" width="4.7109375" style="4" customWidth="1"/>
    <col min="32" max="32" width="18.140625" style="24" customWidth="1"/>
    <col min="33" max="33" width="14.28125" style="24" customWidth="1"/>
    <col min="34" max="34" width="5.7109375" style="4" customWidth="1"/>
    <col min="35" max="35" width="5.7109375" style="1" customWidth="1"/>
    <col min="36" max="37" width="9.140625" style="24" customWidth="1"/>
    <col min="38" max="38" width="17.140625" style="24" customWidth="1"/>
    <col min="39" max="16384" width="9.140625" style="24" customWidth="1"/>
  </cols>
  <sheetData>
    <row r="1" spans="1:35" ht="28.5" customHeight="1">
      <c r="A1" s="13" t="s">
        <v>85</v>
      </c>
      <c r="B1" s="24"/>
      <c r="C1" s="13"/>
      <c r="D1" s="14"/>
      <c r="P1" s="150"/>
      <c r="Q1" s="150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18.75">
      <c r="A2" s="2" t="s">
        <v>239</v>
      </c>
      <c r="B2" s="24"/>
      <c r="C2" s="2"/>
      <c r="D2" s="14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</row>
    <row r="3" spans="1:35" ht="31.5" customHeight="1">
      <c r="A3" s="2" t="s">
        <v>628</v>
      </c>
      <c r="B3" s="24"/>
      <c r="C3" s="2"/>
      <c r="D3" s="14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</row>
    <row r="4" spans="1:35" ht="24" customHeight="1">
      <c r="A4" s="147"/>
      <c r="B4" s="147"/>
      <c r="C4" s="147"/>
      <c r="D4" s="147"/>
      <c r="E4" s="149"/>
      <c r="F4" s="149"/>
      <c r="G4" s="149"/>
      <c r="H4" s="149"/>
      <c r="I4" s="149"/>
      <c r="J4" s="149"/>
      <c r="K4" s="149"/>
      <c r="L4" s="149"/>
      <c r="M4" s="149"/>
      <c r="N4" s="149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5" ht="18.75" customHeight="1">
      <c r="A5" s="3" t="s">
        <v>240</v>
      </c>
      <c r="B5" s="94"/>
      <c r="C5" s="94"/>
      <c r="D5" s="94"/>
      <c r="F5" s="26"/>
      <c r="G5" s="148" t="s">
        <v>227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U5" s="148" t="s">
        <v>233</v>
      </c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</row>
    <row r="6" spans="1:38" ht="131.25" customHeight="1">
      <c r="A6" s="95" t="s">
        <v>86</v>
      </c>
      <c r="B6" s="96" t="s">
        <v>91</v>
      </c>
      <c r="C6" s="96" t="s">
        <v>90</v>
      </c>
      <c r="D6" s="96" t="s">
        <v>92</v>
      </c>
      <c r="E6" s="96" t="s">
        <v>93</v>
      </c>
      <c r="F6" s="95" t="s">
        <v>89</v>
      </c>
      <c r="G6" s="95" t="s">
        <v>87</v>
      </c>
      <c r="H6" s="95" t="s">
        <v>88</v>
      </c>
      <c r="I6" s="95" t="s">
        <v>98</v>
      </c>
      <c r="J6" s="95" t="s">
        <v>97</v>
      </c>
      <c r="K6" s="95" t="s">
        <v>96</v>
      </c>
      <c r="L6" s="23" t="s">
        <v>230</v>
      </c>
      <c r="M6" s="95" t="s">
        <v>94</v>
      </c>
      <c r="N6" s="95" t="s">
        <v>95</v>
      </c>
      <c r="O6" s="95" t="s">
        <v>83</v>
      </c>
      <c r="P6" s="22" t="s">
        <v>206</v>
      </c>
      <c r="Q6" s="25" t="s">
        <v>226</v>
      </c>
      <c r="R6" s="98" t="s">
        <v>614</v>
      </c>
      <c r="S6" s="98" t="s">
        <v>231</v>
      </c>
      <c r="T6" s="25" t="s">
        <v>103</v>
      </c>
      <c r="U6" s="25" t="s">
        <v>104</v>
      </c>
      <c r="V6" s="98" t="s">
        <v>211</v>
      </c>
      <c r="W6" s="95" t="s">
        <v>212</v>
      </c>
      <c r="X6" s="95" t="s">
        <v>213</v>
      </c>
      <c r="Y6" s="95" t="s">
        <v>214</v>
      </c>
      <c r="Z6" s="95" t="s">
        <v>215</v>
      </c>
      <c r="AA6" s="95" t="s">
        <v>216</v>
      </c>
      <c r="AB6" s="95" t="s">
        <v>209</v>
      </c>
      <c r="AC6" s="99" t="s">
        <v>210</v>
      </c>
      <c r="AD6" s="99" t="s">
        <v>615</v>
      </c>
      <c r="AE6" s="99" t="s">
        <v>232</v>
      </c>
      <c r="AF6" s="78" t="s">
        <v>626</v>
      </c>
      <c r="AG6" s="97" t="s">
        <v>100</v>
      </c>
      <c r="AH6" s="95" t="s">
        <v>99</v>
      </c>
      <c r="AI6" s="100" t="s">
        <v>616</v>
      </c>
      <c r="AJ6" s="101" t="s">
        <v>617</v>
      </c>
      <c r="AK6" s="101" t="s">
        <v>618</v>
      </c>
      <c r="AL6" s="144" t="s">
        <v>619</v>
      </c>
    </row>
    <row r="7" spans="1:35" s="107" customFormat="1" ht="15" customHeight="1">
      <c r="A7" s="16" t="s">
        <v>208</v>
      </c>
      <c r="B7" s="102"/>
      <c r="C7" s="102"/>
      <c r="D7" s="102"/>
      <c r="E7" s="103"/>
      <c r="F7" s="88"/>
      <c r="G7" s="104"/>
      <c r="H7" s="102"/>
      <c r="I7" s="104"/>
      <c r="J7" s="104"/>
      <c r="K7" s="104"/>
      <c r="L7" s="104"/>
      <c r="M7" s="105"/>
      <c r="N7" s="104"/>
      <c r="O7" s="104"/>
      <c r="P7" s="104"/>
      <c r="Q7" s="105"/>
      <c r="R7" s="105"/>
      <c r="S7" s="102"/>
      <c r="T7" s="103"/>
      <c r="U7" s="102"/>
      <c r="V7" s="102"/>
      <c r="W7" s="104"/>
      <c r="X7" s="104"/>
      <c r="Y7" s="104"/>
      <c r="Z7" s="104"/>
      <c r="AA7" s="104"/>
      <c r="AB7" s="88"/>
      <c r="AC7" s="88"/>
      <c r="AD7" s="88"/>
      <c r="AE7" s="88"/>
      <c r="AF7" s="102"/>
      <c r="AG7" s="102"/>
      <c r="AH7" s="88"/>
      <c r="AI7" s="106"/>
    </row>
    <row r="8" spans="1:122" s="35" customFormat="1" ht="15" customHeight="1">
      <c r="A8" s="38">
        <v>16162</v>
      </c>
      <c r="B8" s="35" t="s">
        <v>241</v>
      </c>
      <c r="C8" s="35" t="s">
        <v>242</v>
      </c>
      <c r="D8" s="35" t="s">
        <v>194</v>
      </c>
      <c r="E8" s="35" t="s">
        <v>24</v>
      </c>
      <c r="F8" s="35">
        <v>78542</v>
      </c>
      <c r="G8" s="28">
        <v>11</v>
      </c>
      <c r="H8" s="28" t="s">
        <v>5</v>
      </c>
      <c r="I8" s="28" t="s">
        <v>107</v>
      </c>
      <c r="J8" s="28"/>
      <c r="K8" s="28" t="s">
        <v>107</v>
      </c>
      <c r="L8" s="35" t="s">
        <v>205</v>
      </c>
      <c r="M8" s="28">
        <v>98</v>
      </c>
      <c r="N8" s="28">
        <v>26</v>
      </c>
      <c r="O8" s="28">
        <v>124</v>
      </c>
      <c r="P8" s="35" t="s">
        <v>3</v>
      </c>
      <c r="Q8" s="68">
        <v>1510000</v>
      </c>
      <c r="R8" s="29"/>
      <c r="S8" s="29"/>
      <c r="T8" s="35" t="s">
        <v>23</v>
      </c>
      <c r="U8" s="35" t="s">
        <v>243</v>
      </c>
      <c r="V8" s="35">
        <v>125</v>
      </c>
      <c r="W8" s="35">
        <v>17</v>
      </c>
      <c r="X8" s="35">
        <v>4</v>
      </c>
      <c r="Y8" s="35">
        <v>8</v>
      </c>
      <c r="Z8" s="35">
        <v>4</v>
      </c>
      <c r="AB8" s="38">
        <f aca="true" t="shared" si="0" ref="AB8:AB34">SUM(V8:AA8)</f>
        <v>158</v>
      </c>
      <c r="AC8" s="85" t="s">
        <v>217</v>
      </c>
      <c r="AD8" s="85" t="s">
        <v>217</v>
      </c>
      <c r="AE8" s="85" t="s">
        <v>217</v>
      </c>
      <c r="AF8" s="38" t="s">
        <v>627</v>
      </c>
      <c r="AG8" s="35">
        <v>48215023801</v>
      </c>
      <c r="AH8" s="35" t="s">
        <v>124</v>
      </c>
      <c r="AI8" s="28">
        <v>7</v>
      </c>
      <c r="AJ8" s="28">
        <v>17</v>
      </c>
      <c r="AK8" s="30">
        <f>(83+83+78)/3</f>
        <v>81.33333333333333</v>
      </c>
      <c r="AL8" s="69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</row>
    <row r="9" spans="1:122" s="35" customFormat="1" ht="15" customHeight="1">
      <c r="A9" s="38">
        <v>16142</v>
      </c>
      <c r="B9" s="38" t="s">
        <v>234</v>
      </c>
      <c r="C9" s="38" t="s">
        <v>244</v>
      </c>
      <c r="D9" s="38" t="s">
        <v>111</v>
      </c>
      <c r="E9" s="38" t="s">
        <v>28</v>
      </c>
      <c r="F9" s="38">
        <v>75563</v>
      </c>
      <c r="G9" s="31">
        <v>4</v>
      </c>
      <c r="H9" s="31" t="s">
        <v>1</v>
      </c>
      <c r="I9" s="31" t="s">
        <v>107</v>
      </c>
      <c r="J9" s="31" t="s">
        <v>107</v>
      </c>
      <c r="K9" s="31"/>
      <c r="L9" s="38" t="s">
        <v>229</v>
      </c>
      <c r="M9" s="31">
        <v>24</v>
      </c>
      <c r="N9" s="31">
        <v>0</v>
      </c>
      <c r="O9" s="31">
        <v>24</v>
      </c>
      <c r="P9" s="38" t="s">
        <v>3</v>
      </c>
      <c r="Q9" s="64">
        <v>196572</v>
      </c>
      <c r="R9" s="32"/>
      <c r="S9" s="32"/>
      <c r="T9" s="38" t="s">
        <v>108</v>
      </c>
      <c r="U9" s="38" t="s">
        <v>109</v>
      </c>
      <c r="V9" s="38">
        <v>125</v>
      </c>
      <c r="W9" s="38">
        <v>17</v>
      </c>
      <c r="X9" s="38">
        <v>4</v>
      </c>
      <c r="Y9" s="38">
        <v>8</v>
      </c>
      <c r="Z9" s="38">
        <v>4</v>
      </c>
      <c r="AA9" s="38"/>
      <c r="AB9" s="38">
        <f t="shared" si="0"/>
        <v>158</v>
      </c>
      <c r="AC9" s="85" t="s">
        <v>217</v>
      </c>
      <c r="AD9" s="85" t="s">
        <v>217</v>
      </c>
      <c r="AE9" s="85" t="s">
        <v>237</v>
      </c>
      <c r="AF9" s="38" t="s">
        <v>627</v>
      </c>
      <c r="AG9" s="38">
        <v>48067950600</v>
      </c>
      <c r="AH9" s="38" t="s">
        <v>110</v>
      </c>
      <c r="AI9" s="31">
        <v>7</v>
      </c>
      <c r="AJ9" s="33">
        <v>23.3</v>
      </c>
      <c r="AK9" s="30">
        <f>(87+86+80)/3</f>
        <v>84.33333333333333</v>
      </c>
      <c r="AL9" s="39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</row>
    <row r="10" spans="1:122" s="35" customFormat="1" ht="15" customHeight="1">
      <c r="A10" s="38">
        <v>16065</v>
      </c>
      <c r="B10" s="35" t="s">
        <v>113</v>
      </c>
      <c r="C10" s="35" t="s">
        <v>245</v>
      </c>
      <c r="D10" s="35" t="s">
        <v>114</v>
      </c>
      <c r="E10" s="35" t="s">
        <v>71</v>
      </c>
      <c r="F10" s="35">
        <v>77515</v>
      </c>
      <c r="G10" s="28">
        <v>6</v>
      </c>
      <c r="H10" s="28" t="s">
        <v>1</v>
      </c>
      <c r="I10" s="28" t="s">
        <v>107</v>
      </c>
      <c r="J10" s="28" t="s">
        <v>107</v>
      </c>
      <c r="K10" s="28"/>
      <c r="L10" s="35" t="s">
        <v>229</v>
      </c>
      <c r="M10" s="28">
        <v>104</v>
      </c>
      <c r="N10" s="28">
        <v>0</v>
      </c>
      <c r="O10" s="28">
        <v>104</v>
      </c>
      <c r="P10" s="35" t="s">
        <v>3</v>
      </c>
      <c r="Q10" s="68">
        <v>782291</v>
      </c>
      <c r="R10" s="29"/>
      <c r="S10" s="34" t="s">
        <v>107</v>
      </c>
      <c r="T10" s="35" t="s">
        <v>122</v>
      </c>
      <c r="U10" s="35" t="s">
        <v>145</v>
      </c>
      <c r="V10" s="35">
        <v>123</v>
      </c>
      <c r="W10" s="35">
        <v>17</v>
      </c>
      <c r="X10" s="38">
        <v>4</v>
      </c>
      <c r="Y10" s="35">
        <v>8</v>
      </c>
      <c r="Z10" s="35">
        <v>4</v>
      </c>
      <c r="AB10" s="38">
        <f t="shared" si="0"/>
        <v>156</v>
      </c>
      <c r="AC10" s="85" t="s">
        <v>217</v>
      </c>
      <c r="AD10" s="85" t="s">
        <v>217</v>
      </c>
      <c r="AE10" s="85" t="s">
        <v>217</v>
      </c>
      <c r="AF10" s="38" t="s">
        <v>627</v>
      </c>
      <c r="AG10" s="35">
        <v>48039662200</v>
      </c>
      <c r="AH10" s="35" t="s">
        <v>115</v>
      </c>
      <c r="AI10" s="28">
        <v>7</v>
      </c>
      <c r="AJ10" s="28">
        <v>7</v>
      </c>
      <c r="AK10" s="30">
        <f>(87+79+77)/3</f>
        <v>81</v>
      </c>
      <c r="AL10" s="69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</row>
    <row r="11" spans="1:122" s="35" customFormat="1" ht="15" customHeight="1">
      <c r="A11" s="38">
        <v>16154</v>
      </c>
      <c r="B11" s="35" t="s">
        <v>246</v>
      </c>
      <c r="C11" s="35" t="s">
        <v>247</v>
      </c>
      <c r="D11" s="35" t="s">
        <v>248</v>
      </c>
      <c r="E11" s="35" t="s">
        <v>57</v>
      </c>
      <c r="F11" s="35">
        <v>76542</v>
      </c>
      <c r="G11" s="28">
        <v>8</v>
      </c>
      <c r="H11" s="28" t="s">
        <v>5</v>
      </c>
      <c r="I11" s="28" t="s">
        <v>107</v>
      </c>
      <c r="J11" s="28"/>
      <c r="K11" s="28"/>
      <c r="L11" s="35" t="s">
        <v>205</v>
      </c>
      <c r="M11" s="28">
        <v>75</v>
      </c>
      <c r="N11" s="28">
        <v>1</v>
      </c>
      <c r="O11" s="28">
        <v>76</v>
      </c>
      <c r="P11" s="35" t="s">
        <v>3</v>
      </c>
      <c r="Q11" s="68">
        <v>1306000</v>
      </c>
      <c r="R11" s="29"/>
      <c r="S11" s="29"/>
      <c r="T11" s="35" t="s">
        <v>130</v>
      </c>
      <c r="U11" s="35" t="s">
        <v>249</v>
      </c>
      <c r="V11" s="35">
        <v>123</v>
      </c>
      <c r="W11" s="35">
        <v>17</v>
      </c>
      <c r="X11" s="38">
        <v>4</v>
      </c>
      <c r="Y11" s="35">
        <v>8</v>
      </c>
      <c r="Z11" s="35">
        <v>4</v>
      </c>
      <c r="AB11" s="38">
        <f t="shared" si="0"/>
        <v>156</v>
      </c>
      <c r="AC11" s="85" t="s">
        <v>217</v>
      </c>
      <c r="AD11" s="85" t="s">
        <v>217</v>
      </c>
      <c r="AE11" s="85" t="s">
        <v>237</v>
      </c>
      <c r="AF11" s="38" t="s">
        <v>627</v>
      </c>
      <c r="AG11" s="35">
        <v>48027022403</v>
      </c>
      <c r="AH11" s="35" t="s">
        <v>124</v>
      </c>
      <c r="AI11" s="28">
        <v>7</v>
      </c>
      <c r="AJ11" s="28">
        <v>11.1</v>
      </c>
      <c r="AK11" s="30">
        <f>(86+84+79)/3</f>
        <v>83</v>
      </c>
      <c r="AL11" s="69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</row>
    <row r="12" spans="1:122" s="35" customFormat="1" ht="15" customHeight="1">
      <c r="A12" s="38">
        <v>16077</v>
      </c>
      <c r="B12" s="35" t="s">
        <v>119</v>
      </c>
      <c r="C12" s="35" t="s">
        <v>120</v>
      </c>
      <c r="D12" s="35" t="s">
        <v>121</v>
      </c>
      <c r="E12" s="35" t="s">
        <v>71</v>
      </c>
      <c r="F12" s="35">
        <v>77480</v>
      </c>
      <c r="G12" s="28">
        <v>6</v>
      </c>
      <c r="H12" s="28" t="s">
        <v>1</v>
      </c>
      <c r="I12" s="28" t="s">
        <v>107</v>
      </c>
      <c r="J12" s="28" t="s">
        <v>107</v>
      </c>
      <c r="K12" s="28"/>
      <c r="L12" s="35" t="s">
        <v>229</v>
      </c>
      <c r="M12" s="28">
        <v>48</v>
      </c>
      <c r="N12" s="28">
        <v>0</v>
      </c>
      <c r="O12" s="28">
        <v>48</v>
      </c>
      <c r="P12" s="35" t="s">
        <v>3</v>
      </c>
      <c r="Q12" s="68">
        <v>335723</v>
      </c>
      <c r="R12" s="29"/>
      <c r="S12" s="29"/>
      <c r="T12" s="35" t="s">
        <v>122</v>
      </c>
      <c r="U12" s="35" t="s">
        <v>145</v>
      </c>
      <c r="V12" s="35">
        <v>123</v>
      </c>
      <c r="W12" s="35">
        <v>17</v>
      </c>
      <c r="X12" s="38">
        <v>4</v>
      </c>
      <c r="Y12" s="35">
        <v>8</v>
      </c>
      <c r="Z12" s="35">
        <v>4</v>
      </c>
      <c r="AB12" s="38">
        <f>SUM(V12:AA12)</f>
        <v>156</v>
      </c>
      <c r="AC12" s="85" t="s">
        <v>217</v>
      </c>
      <c r="AD12" s="85" t="s">
        <v>217</v>
      </c>
      <c r="AE12" s="85" t="s">
        <v>217</v>
      </c>
      <c r="AF12" s="38" t="s">
        <v>627</v>
      </c>
      <c r="AG12" s="35">
        <v>48039662800</v>
      </c>
      <c r="AH12" s="35" t="s">
        <v>115</v>
      </c>
      <c r="AI12" s="28">
        <v>7</v>
      </c>
      <c r="AJ12" s="28">
        <v>14.3</v>
      </c>
      <c r="AK12" s="30">
        <f>(81+81+88)/3</f>
        <v>83.33333333333333</v>
      </c>
      <c r="AL12" s="108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</row>
    <row r="13" spans="1:122" s="35" customFormat="1" ht="15" customHeight="1">
      <c r="A13" s="38">
        <v>16082</v>
      </c>
      <c r="B13" s="35" t="s">
        <v>250</v>
      </c>
      <c r="C13" s="35" t="s">
        <v>251</v>
      </c>
      <c r="D13" s="35" t="s">
        <v>171</v>
      </c>
      <c r="E13" s="35" t="s">
        <v>252</v>
      </c>
      <c r="F13" s="35">
        <v>75147</v>
      </c>
      <c r="G13" s="28">
        <v>3</v>
      </c>
      <c r="H13" s="28" t="s">
        <v>1</v>
      </c>
      <c r="I13" s="28"/>
      <c r="J13" s="28" t="s">
        <v>107</v>
      </c>
      <c r="K13" s="28"/>
      <c r="L13" s="35" t="s">
        <v>229</v>
      </c>
      <c r="M13" s="28">
        <v>42</v>
      </c>
      <c r="N13" s="28">
        <v>0</v>
      </c>
      <c r="O13" s="28">
        <v>42</v>
      </c>
      <c r="P13" s="35" t="s">
        <v>253</v>
      </c>
      <c r="Q13" s="68">
        <v>325694</v>
      </c>
      <c r="R13" s="29"/>
      <c r="S13" s="29"/>
      <c r="T13" s="35" t="s">
        <v>147</v>
      </c>
      <c r="U13" s="35" t="s">
        <v>2</v>
      </c>
      <c r="V13" s="35">
        <v>123</v>
      </c>
      <c r="W13" s="35">
        <v>17</v>
      </c>
      <c r="X13" s="38">
        <v>4</v>
      </c>
      <c r="Y13" s="35">
        <v>8</v>
      </c>
      <c r="Z13" s="35">
        <v>4</v>
      </c>
      <c r="AB13" s="38">
        <f t="shared" si="0"/>
        <v>156</v>
      </c>
      <c r="AC13" s="85" t="s">
        <v>217</v>
      </c>
      <c r="AD13" s="85" t="s">
        <v>217</v>
      </c>
      <c r="AE13" s="85" t="s">
        <v>217</v>
      </c>
      <c r="AF13" s="38" t="s">
        <v>627</v>
      </c>
      <c r="AG13" s="35">
        <v>48257051300</v>
      </c>
      <c r="AH13" s="35" t="s">
        <v>112</v>
      </c>
      <c r="AI13" s="28">
        <v>7</v>
      </c>
      <c r="AJ13" s="28">
        <v>16.7</v>
      </c>
      <c r="AK13" s="30">
        <f>(85+86+81)/3</f>
        <v>84</v>
      </c>
      <c r="AL13" s="69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</row>
    <row r="14" spans="1:122" s="35" customFormat="1" ht="15" customHeight="1">
      <c r="A14" s="38">
        <v>16033</v>
      </c>
      <c r="B14" s="35" t="s">
        <v>254</v>
      </c>
      <c r="C14" s="35" t="s">
        <v>255</v>
      </c>
      <c r="D14" s="35" t="s">
        <v>27</v>
      </c>
      <c r="E14" s="35" t="s">
        <v>28</v>
      </c>
      <c r="F14" s="35">
        <v>75656</v>
      </c>
      <c r="G14" s="28">
        <v>4</v>
      </c>
      <c r="H14" s="28" t="s">
        <v>1</v>
      </c>
      <c r="I14" s="28"/>
      <c r="J14" s="28" t="s">
        <v>107</v>
      </c>
      <c r="K14" s="28"/>
      <c r="L14" s="35" t="s">
        <v>229</v>
      </c>
      <c r="M14" s="67">
        <v>31</v>
      </c>
      <c r="N14" s="67">
        <v>1</v>
      </c>
      <c r="O14" s="67">
        <v>32</v>
      </c>
      <c r="P14" s="35" t="s">
        <v>256</v>
      </c>
      <c r="Q14" s="68">
        <v>257250</v>
      </c>
      <c r="R14" s="29"/>
      <c r="S14" s="29"/>
      <c r="T14" s="35" t="s">
        <v>137</v>
      </c>
      <c r="U14" s="35" t="s">
        <v>257</v>
      </c>
      <c r="V14" s="35">
        <v>123</v>
      </c>
      <c r="W14" s="35">
        <v>17</v>
      </c>
      <c r="X14" s="35">
        <v>8</v>
      </c>
      <c r="Y14" s="35">
        <v>8</v>
      </c>
      <c r="Z14" s="35">
        <v>0</v>
      </c>
      <c r="AB14" s="38">
        <f t="shared" si="0"/>
        <v>156</v>
      </c>
      <c r="AC14" s="85" t="s">
        <v>217</v>
      </c>
      <c r="AD14" s="85" t="s">
        <v>217</v>
      </c>
      <c r="AE14" s="85" t="s">
        <v>217</v>
      </c>
      <c r="AF14" s="38" t="s">
        <v>627</v>
      </c>
      <c r="AG14" s="35">
        <v>48067950700</v>
      </c>
      <c r="AH14" s="35" t="s">
        <v>115</v>
      </c>
      <c r="AI14" s="28">
        <v>7</v>
      </c>
      <c r="AJ14" s="28">
        <v>28.6</v>
      </c>
      <c r="AK14" s="30">
        <f>(83+88+83)/3</f>
        <v>84.66666666666667</v>
      </c>
      <c r="AL14" s="69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</row>
    <row r="15" spans="1:122" s="35" customFormat="1" ht="15" customHeight="1">
      <c r="A15" s="38">
        <v>16352</v>
      </c>
      <c r="B15" s="38" t="s">
        <v>258</v>
      </c>
      <c r="C15" s="38" t="s">
        <v>259</v>
      </c>
      <c r="D15" s="38" t="s">
        <v>25</v>
      </c>
      <c r="E15" s="38" t="s">
        <v>25</v>
      </c>
      <c r="F15" s="38">
        <v>79935</v>
      </c>
      <c r="G15" s="31">
        <v>13</v>
      </c>
      <c r="H15" s="31" t="s">
        <v>5</v>
      </c>
      <c r="I15" s="31" t="s">
        <v>107</v>
      </c>
      <c r="J15" s="31"/>
      <c r="K15" s="31" t="s">
        <v>107</v>
      </c>
      <c r="L15" s="38" t="s">
        <v>205</v>
      </c>
      <c r="M15" s="31">
        <v>185</v>
      </c>
      <c r="N15" s="31">
        <v>0</v>
      </c>
      <c r="O15" s="31">
        <v>185</v>
      </c>
      <c r="P15" s="38" t="s">
        <v>3</v>
      </c>
      <c r="Q15" s="64">
        <v>1500000</v>
      </c>
      <c r="R15" s="32"/>
      <c r="S15" s="32"/>
      <c r="T15" s="38" t="s">
        <v>260</v>
      </c>
      <c r="U15" s="38" t="s">
        <v>62</v>
      </c>
      <c r="V15" s="38">
        <v>123</v>
      </c>
      <c r="W15" s="38">
        <v>17</v>
      </c>
      <c r="X15" s="38">
        <v>4</v>
      </c>
      <c r="Y15" s="38">
        <v>8</v>
      </c>
      <c r="Z15" s="38">
        <v>4</v>
      </c>
      <c r="AA15" s="38"/>
      <c r="AB15" s="38">
        <f t="shared" si="0"/>
        <v>156</v>
      </c>
      <c r="AC15" s="85" t="s">
        <v>217</v>
      </c>
      <c r="AD15" s="85" t="s">
        <v>217</v>
      </c>
      <c r="AE15" s="85" t="s">
        <v>217</v>
      </c>
      <c r="AF15" s="38" t="s">
        <v>627</v>
      </c>
      <c r="AG15" s="38">
        <v>48141010303</v>
      </c>
      <c r="AH15" s="38" t="s">
        <v>115</v>
      </c>
      <c r="AI15" s="31">
        <v>6</v>
      </c>
      <c r="AJ15" s="31">
        <v>13.4</v>
      </c>
      <c r="AK15" s="36">
        <f>(85+85+91)/3</f>
        <v>87</v>
      </c>
      <c r="AL15" s="39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</row>
    <row r="16" spans="1:122" s="35" customFormat="1" ht="15" customHeight="1">
      <c r="A16" s="38">
        <v>16113</v>
      </c>
      <c r="B16" s="35" t="s">
        <v>143</v>
      </c>
      <c r="C16" s="35" t="s">
        <v>141</v>
      </c>
      <c r="D16" s="35" t="s">
        <v>142</v>
      </c>
      <c r="E16" s="35" t="s">
        <v>67</v>
      </c>
      <c r="F16" s="35">
        <v>75757</v>
      </c>
      <c r="G16" s="28">
        <v>4</v>
      </c>
      <c r="H16" s="28" t="s">
        <v>1</v>
      </c>
      <c r="I16" s="28"/>
      <c r="J16" s="28" t="s">
        <v>107</v>
      </c>
      <c r="K16" s="28"/>
      <c r="L16" s="35" t="s">
        <v>229</v>
      </c>
      <c r="M16" s="28">
        <v>24</v>
      </c>
      <c r="N16" s="28">
        <v>0</v>
      </c>
      <c r="O16" s="28">
        <v>24</v>
      </c>
      <c r="P16" s="35" t="s">
        <v>3</v>
      </c>
      <c r="Q16" s="68">
        <v>225583</v>
      </c>
      <c r="R16" s="29" t="s">
        <v>107</v>
      </c>
      <c r="S16" s="29"/>
      <c r="T16" s="35" t="s">
        <v>118</v>
      </c>
      <c r="U16" s="66" t="s">
        <v>261</v>
      </c>
      <c r="V16" s="35">
        <v>122</v>
      </c>
      <c r="W16" s="35">
        <v>17</v>
      </c>
      <c r="X16" s="35">
        <v>8</v>
      </c>
      <c r="Y16" s="35">
        <v>8</v>
      </c>
      <c r="Z16" s="35">
        <v>0</v>
      </c>
      <c r="AB16" s="38">
        <f t="shared" si="0"/>
        <v>155</v>
      </c>
      <c r="AC16" s="85" t="s">
        <v>217</v>
      </c>
      <c r="AD16" s="85" t="s">
        <v>217</v>
      </c>
      <c r="AE16" s="85" t="s">
        <v>237</v>
      </c>
      <c r="AF16" s="38" t="s">
        <v>627</v>
      </c>
      <c r="AG16" s="35">
        <v>48423001908</v>
      </c>
      <c r="AH16" s="35" t="s">
        <v>124</v>
      </c>
      <c r="AI16" s="28">
        <v>7</v>
      </c>
      <c r="AJ16" s="28">
        <v>6</v>
      </c>
      <c r="AK16" s="30">
        <f>(88+81+85)/3</f>
        <v>84.66666666666667</v>
      </c>
      <c r="AL16" s="69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</row>
    <row r="17" spans="1:122" s="35" customFormat="1" ht="15" customHeight="1">
      <c r="A17" s="38">
        <v>16116</v>
      </c>
      <c r="B17" s="35" t="s">
        <v>140</v>
      </c>
      <c r="C17" s="35" t="s">
        <v>262</v>
      </c>
      <c r="D17" s="35" t="s">
        <v>142</v>
      </c>
      <c r="E17" s="35" t="s">
        <v>67</v>
      </c>
      <c r="F17" s="35">
        <v>75757</v>
      </c>
      <c r="G17" s="28">
        <v>4</v>
      </c>
      <c r="H17" s="28" t="s">
        <v>1</v>
      </c>
      <c r="I17" s="28"/>
      <c r="J17" s="28" t="s">
        <v>107</v>
      </c>
      <c r="K17" s="28"/>
      <c r="L17" s="35" t="s">
        <v>229</v>
      </c>
      <c r="M17" s="28">
        <v>24</v>
      </c>
      <c r="N17" s="28">
        <v>0</v>
      </c>
      <c r="O17" s="28">
        <v>24</v>
      </c>
      <c r="P17" s="35" t="s">
        <v>256</v>
      </c>
      <c r="Q17" s="68">
        <v>194178</v>
      </c>
      <c r="R17" s="29" t="s">
        <v>107</v>
      </c>
      <c r="S17" s="29"/>
      <c r="T17" s="35" t="s">
        <v>118</v>
      </c>
      <c r="U17" s="35" t="s">
        <v>263</v>
      </c>
      <c r="V17" s="35">
        <v>122</v>
      </c>
      <c r="W17" s="35">
        <v>17</v>
      </c>
      <c r="X17" s="35">
        <v>8</v>
      </c>
      <c r="Y17" s="35">
        <v>8</v>
      </c>
      <c r="Z17" s="35">
        <v>0</v>
      </c>
      <c r="AB17" s="38">
        <f>SUM(V17:AA17)</f>
        <v>155</v>
      </c>
      <c r="AC17" s="85" t="s">
        <v>217</v>
      </c>
      <c r="AD17" s="85" t="s">
        <v>217</v>
      </c>
      <c r="AE17" s="85" t="s">
        <v>237</v>
      </c>
      <c r="AF17" s="38" t="s">
        <v>627</v>
      </c>
      <c r="AG17" s="35">
        <v>48423001908</v>
      </c>
      <c r="AH17" s="35" t="s">
        <v>124</v>
      </c>
      <c r="AI17" s="28">
        <v>7</v>
      </c>
      <c r="AJ17" s="28">
        <v>6</v>
      </c>
      <c r="AK17" s="30">
        <f>(88+81+85)/3</f>
        <v>84.66666666666667</v>
      </c>
      <c r="AL17" s="108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</row>
    <row r="18" spans="1:122" s="35" customFormat="1" ht="15" customHeight="1">
      <c r="A18" s="38">
        <v>16354</v>
      </c>
      <c r="B18" s="35" t="s">
        <v>264</v>
      </c>
      <c r="C18" s="35" t="s">
        <v>265</v>
      </c>
      <c r="D18" s="35" t="s">
        <v>25</v>
      </c>
      <c r="E18" s="35" t="s">
        <v>25</v>
      </c>
      <c r="F18" s="35">
        <v>79938</v>
      </c>
      <c r="G18" s="28">
        <v>13</v>
      </c>
      <c r="H18" s="28" t="s">
        <v>5</v>
      </c>
      <c r="I18" s="28" t="s">
        <v>107</v>
      </c>
      <c r="J18" s="28"/>
      <c r="K18" s="28" t="s">
        <v>107</v>
      </c>
      <c r="L18" s="35" t="s">
        <v>205</v>
      </c>
      <c r="M18" s="28">
        <v>153</v>
      </c>
      <c r="N18" s="28">
        <v>0</v>
      </c>
      <c r="O18" s="28">
        <v>153</v>
      </c>
      <c r="P18" s="35" t="s">
        <v>3</v>
      </c>
      <c r="Q18" s="68">
        <v>1500000</v>
      </c>
      <c r="R18" s="29"/>
      <c r="S18" s="29"/>
      <c r="T18" s="35" t="s">
        <v>260</v>
      </c>
      <c r="U18" s="35" t="s">
        <v>62</v>
      </c>
      <c r="V18" s="35">
        <v>122</v>
      </c>
      <c r="W18" s="35">
        <v>17</v>
      </c>
      <c r="X18" s="35">
        <v>4</v>
      </c>
      <c r="Y18" s="35">
        <v>8</v>
      </c>
      <c r="Z18" s="35">
        <v>4</v>
      </c>
      <c r="AB18" s="38">
        <f t="shared" si="0"/>
        <v>155</v>
      </c>
      <c r="AC18" s="85" t="s">
        <v>217</v>
      </c>
      <c r="AD18" s="85" t="s">
        <v>217</v>
      </c>
      <c r="AE18" s="85" t="s">
        <v>217</v>
      </c>
      <c r="AF18" s="38" t="s">
        <v>627</v>
      </c>
      <c r="AG18" s="35">
        <v>48141010331</v>
      </c>
      <c r="AH18" s="35" t="s">
        <v>124</v>
      </c>
      <c r="AI18" s="28">
        <v>7</v>
      </c>
      <c r="AJ18" s="28">
        <v>12.3</v>
      </c>
      <c r="AK18" s="30">
        <f>(78+88+75)/3</f>
        <v>80.33333333333333</v>
      </c>
      <c r="AL18" s="69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</row>
    <row r="19" spans="1:122" s="35" customFormat="1" ht="15" customHeight="1">
      <c r="A19" s="38">
        <v>16124</v>
      </c>
      <c r="B19" s="35" t="s">
        <v>266</v>
      </c>
      <c r="C19" s="35" t="s">
        <v>267</v>
      </c>
      <c r="D19" s="35" t="s">
        <v>59</v>
      </c>
      <c r="E19" s="35" t="s">
        <v>60</v>
      </c>
      <c r="F19" s="35">
        <v>78130</v>
      </c>
      <c r="G19" s="28">
        <v>9</v>
      </c>
      <c r="H19" s="37" t="s">
        <v>5</v>
      </c>
      <c r="I19" s="28" t="s">
        <v>107</v>
      </c>
      <c r="J19" s="28"/>
      <c r="K19" s="28"/>
      <c r="L19" s="35" t="s">
        <v>229</v>
      </c>
      <c r="M19" s="28">
        <v>38</v>
      </c>
      <c r="N19" s="28">
        <v>1</v>
      </c>
      <c r="O19" s="28">
        <v>39</v>
      </c>
      <c r="P19" s="35" t="s">
        <v>256</v>
      </c>
      <c r="Q19" s="68">
        <v>416646</v>
      </c>
      <c r="R19" s="29"/>
      <c r="S19" s="29"/>
      <c r="T19" s="35" t="s">
        <v>268</v>
      </c>
      <c r="U19" s="35" t="s">
        <v>269</v>
      </c>
      <c r="V19" s="35">
        <v>122</v>
      </c>
      <c r="W19" s="35">
        <v>17</v>
      </c>
      <c r="X19" s="35">
        <v>4</v>
      </c>
      <c r="Y19" s="35">
        <v>8</v>
      </c>
      <c r="Z19" s="35">
        <v>4</v>
      </c>
      <c r="AB19" s="38">
        <f t="shared" si="0"/>
        <v>155</v>
      </c>
      <c r="AC19" s="85" t="s">
        <v>217</v>
      </c>
      <c r="AD19" s="85" t="s">
        <v>217</v>
      </c>
      <c r="AE19" s="85" t="s">
        <v>217</v>
      </c>
      <c r="AF19" s="38" t="s">
        <v>627</v>
      </c>
      <c r="AG19" s="35">
        <v>48091310403</v>
      </c>
      <c r="AH19" s="35" t="s">
        <v>115</v>
      </c>
      <c r="AI19" s="28">
        <v>0</v>
      </c>
      <c r="AJ19" s="28">
        <v>15.2</v>
      </c>
      <c r="AK19" s="30">
        <f>(85+85+90)/3</f>
        <v>86.66666666666667</v>
      </c>
      <c r="AL19" s="108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</row>
    <row r="20" spans="1:122" s="38" customFormat="1" ht="15" customHeight="1">
      <c r="A20" s="38">
        <v>16175</v>
      </c>
      <c r="B20" s="35" t="s">
        <v>270</v>
      </c>
      <c r="C20" s="35" t="s">
        <v>271</v>
      </c>
      <c r="D20" s="35" t="s">
        <v>272</v>
      </c>
      <c r="E20" s="35" t="s">
        <v>13</v>
      </c>
      <c r="F20" s="35">
        <v>77532</v>
      </c>
      <c r="G20" s="28">
        <v>6</v>
      </c>
      <c r="H20" s="28" t="s">
        <v>1</v>
      </c>
      <c r="I20" s="28"/>
      <c r="J20" s="28" t="s">
        <v>107</v>
      </c>
      <c r="K20" s="28"/>
      <c r="L20" s="35" t="s">
        <v>229</v>
      </c>
      <c r="M20" s="28">
        <v>96</v>
      </c>
      <c r="N20" s="28">
        <v>1</v>
      </c>
      <c r="O20" s="28">
        <v>97</v>
      </c>
      <c r="P20" s="35" t="s">
        <v>3</v>
      </c>
      <c r="Q20" s="68">
        <v>649865</v>
      </c>
      <c r="R20" s="29"/>
      <c r="S20" s="34" t="s">
        <v>107</v>
      </c>
      <c r="T20" s="35" t="s">
        <v>138</v>
      </c>
      <c r="U20" s="35" t="s">
        <v>139</v>
      </c>
      <c r="V20" s="35">
        <v>121</v>
      </c>
      <c r="W20" s="35">
        <v>17</v>
      </c>
      <c r="X20" s="35">
        <v>8</v>
      </c>
      <c r="Y20" s="35">
        <v>8</v>
      </c>
      <c r="Z20" s="35">
        <v>0</v>
      </c>
      <c r="AA20" s="35"/>
      <c r="AB20" s="38">
        <f t="shared" si="0"/>
        <v>154</v>
      </c>
      <c r="AC20" s="85" t="s">
        <v>217</v>
      </c>
      <c r="AD20" s="85" t="s">
        <v>217</v>
      </c>
      <c r="AE20" s="85" t="s">
        <v>237</v>
      </c>
      <c r="AF20" s="38" t="s">
        <v>627</v>
      </c>
      <c r="AG20" s="35">
        <v>48201252700</v>
      </c>
      <c r="AH20" s="35" t="s">
        <v>115</v>
      </c>
      <c r="AI20" s="28">
        <v>7</v>
      </c>
      <c r="AJ20" s="28">
        <v>20.4</v>
      </c>
      <c r="AK20" s="30">
        <f>(77+76+78)/3</f>
        <v>77</v>
      </c>
      <c r="AL20" s="108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</row>
    <row r="21" spans="1:122" s="38" customFormat="1" ht="15" customHeight="1">
      <c r="A21" s="38">
        <v>16099</v>
      </c>
      <c r="B21" s="35" t="s">
        <v>273</v>
      </c>
      <c r="C21" s="35" t="s">
        <v>274</v>
      </c>
      <c r="D21" s="35" t="s">
        <v>6</v>
      </c>
      <c r="E21" s="35" t="s">
        <v>39</v>
      </c>
      <c r="F21" s="35">
        <v>78759</v>
      </c>
      <c r="G21" s="28">
        <v>7</v>
      </c>
      <c r="H21" s="28" t="s">
        <v>5</v>
      </c>
      <c r="I21" s="28" t="s">
        <v>107</v>
      </c>
      <c r="J21" s="28"/>
      <c r="K21" s="28"/>
      <c r="L21" s="35" t="s">
        <v>229</v>
      </c>
      <c r="M21" s="28">
        <v>75</v>
      </c>
      <c r="N21" s="28">
        <v>0</v>
      </c>
      <c r="O21" s="28">
        <v>75</v>
      </c>
      <c r="P21" s="35" t="s">
        <v>3</v>
      </c>
      <c r="Q21" s="68">
        <v>901883.23</v>
      </c>
      <c r="R21" s="29"/>
      <c r="S21" s="29"/>
      <c r="T21" s="35" t="s">
        <v>275</v>
      </c>
      <c r="U21" s="35" t="s">
        <v>276</v>
      </c>
      <c r="V21" s="35">
        <v>121</v>
      </c>
      <c r="W21" s="35">
        <v>17</v>
      </c>
      <c r="X21" s="35">
        <v>4</v>
      </c>
      <c r="Y21" s="35">
        <v>8</v>
      </c>
      <c r="Z21" s="35">
        <v>4</v>
      </c>
      <c r="AA21" s="35"/>
      <c r="AB21" s="38">
        <f t="shared" si="0"/>
        <v>154</v>
      </c>
      <c r="AC21" s="85" t="s">
        <v>217</v>
      </c>
      <c r="AD21" s="85" t="s">
        <v>217</v>
      </c>
      <c r="AE21" s="85" t="s">
        <v>238</v>
      </c>
      <c r="AF21" s="38" t="s">
        <v>627</v>
      </c>
      <c r="AG21" s="35">
        <v>48453002500</v>
      </c>
      <c r="AH21" s="35" t="s">
        <v>115</v>
      </c>
      <c r="AI21" s="28">
        <v>6</v>
      </c>
      <c r="AJ21" s="28">
        <v>9.3</v>
      </c>
      <c r="AK21" s="30">
        <f>(89+89+92)/3</f>
        <v>90</v>
      </c>
      <c r="AL21" s="69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</row>
    <row r="22" spans="1:122" s="35" customFormat="1" ht="15" customHeight="1">
      <c r="A22" s="38">
        <v>16108</v>
      </c>
      <c r="B22" s="35" t="s">
        <v>277</v>
      </c>
      <c r="C22" s="35" t="s">
        <v>278</v>
      </c>
      <c r="D22" s="35" t="s">
        <v>279</v>
      </c>
      <c r="E22" s="35" t="s">
        <v>117</v>
      </c>
      <c r="F22" s="35">
        <v>75758</v>
      </c>
      <c r="G22" s="28">
        <v>4</v>
      </c>
      <c r="H22" s="28" t="s">
        <v>1</v>
      </c>
      <c r="I22" s="28"/>
      <c r="J22" s="28" t="s">
        <v>107</v>
      </c>
      <c r="K22" s="28"/>
      <c r="L22" s="35" t="s">
        <v>229</v>
      </c>
      <c r="M22" s="28">
        <v>44</v>
      </c>
      <c r="N22" s="28">
        <v>0</v>
      </c>
      <c r="O22" s="28">
        <v>44</v>
      </c>
      <c r="P22" s="35" t="s">
        <v>256</v>
      </c>
      <c r="Q22" s="68">
        <v>263062</v>
      </c>
      <c r="R22" s="29" t="s">
        <v>107</v>
      </c>
      <c r="S22" s="29"/>
      <c r="T22" s="35" t="s">
        <v>118</v>
      </c>
      <c r="U22" s="35" t="s">
        <v>263</v>
      </c>
      <c r="V22" s="35">
        <v>120</v>
      </c>
      <c r="W22" s="35">
        <v>17</v>
      </c>
      <c r="X22" s="35">
        <v>8</v>
      </c>
      <c r="Y22" s="35">
        <v>8</v>
      </c>
      <c r="Z22" s="35">
        <v>0</v>
      </c>
      <c r="AB22" s="38">
        <f t="shared" si="0"/>
        <v>153</v>
      </c>
      <c r="AC22" s="85" t="s">
        <v>217</v>
      </c>
      <c r="AD22" s="85" t="s">
        <v>217</v>
      </c>
      <c r="AE22" s="85" t="s">
        <v>237</v>
      </c>
      <c r="AF22" s="38" t="s">
        <v>627</v>
      </c>
      <c r="AG22" s="35">
        <v>48213950100</v>
      </c>
      <c r="AH22" s="35" t="s">
        <v>124</v>
      </c>
      <c r="AI22" s="28">
        <v>7</v>
      </c>
      <c r="AJ22" s="28">
        <v>12.9</v>
      </c>
      <c r="AK22" s="30">
        <f>(73+86+86)/3</f>
        <v>81.66666666666667</v>
      </c>
      <c r="AL22" s="69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</row>
    <row r="23" spans="1:122" s="38" customFormat="1" ht="15" customHeight="1">
      <c r="A23" s="38">
        <v>16040</v>
      </c>
      <c r="B23" s="35" t="s">
        <v>280</v>
      </c>
      <c r="C23" s="35" t="s">
        <v>281</v>
      </c>
      <c r="D23" s="35" t="s">
        <v>282</v>
      </c>
      <c r="E23" s="35" t="s">
        <v>54</v>
      </c>
      <c r="F23" s="35">
        <v>77833</v>
      </c>
      <c r="G23" s="28">
        <v>8</v>
      </c>
      <c r="H23" s="28" t="s">
        <v>1</v>
      </c>
      <c r="I23" s="28" t="s">
        <v>107</v>
      </c>
      <c r="J23" s="28"/>
      <c r="K23" s="28" t="s">
        <v>107</v>
      </c>
      <c r="L23" s="35" t="s">
        <v>205</v>
      </c>
      <c r="M23" s="67">
        <v>80</v>
      </c>
      <c r="N23" s="67">
        <v>0</v>
      </c>
      <c r="O23" s="67">
        <v>80</v>
      </c>
      <c r="P23" s="35" t="s">
        <v>3</v>
      </c>
      <c r="Q23" s="68">
        <v>779965</v>
      </c>
      <c r="R23" s="29"/>
      <c r="S23" s="29"/>
      <c r="T23" s="35" t="s">
        <v>283</v>
      </c>
      <c r="U23" s="35" t="s">
        <v>284</v>
      </c>
      <c r="V23" s="35">
        <v>120</v>
      </c>
      <c r="W23" s="35">
        <v>17</v>
      </c>
      <c r="X23" s="35">
        <v>4</v>
      </c>
      <c r="Y23" s="35">
        <v>8</v>
      </c>
      <c r="Z23" s="35">
        <v>4</v>
      </c>
      <c r="AA23" s="35"/>
      <c r="AB23" s="38">
        <f>SUM(V23:AA23)</f>
        <v>153</v>
      </c>
      <c r="AC23" s="85" t="s">
        <v>225</v>
      </c>
      <c r="AD23" s="85" t="s">
        <v>225</v>
      </c>
      <c r="AE23" s="85" t="s">
        <v>225</v>
      </c>
      <c r="AG23" s="35">
        <v>48477170100</v>
      </c>
      <c r="AH23" s="35" t="s">
        <v>112</v>
      </c>
      <c r="AI23" s="28">
        <v>7</v>
      </c>
      <c r="AJ23" s="28">
        <v>14.1</v>
      </c>
      <c r="AK23" s="30">
        <f>(78+72+75)/3</f>
        <v>75</v>
      </c>
      <c r="AL23" s="69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</row>
    <row r="24" spans="1:122" s="35" customFormat="1" ht="15" customHeight="1">
      <c r="A24" s="38">
        <v>16376</v>
      </c>
      <c r="B24" s="35" t="s">
        <v>123</v>
      </c>
      <c r="C24" s="35" t="s">
        <v>285</v>
      </c>
      <c r="D24" s="35" t="s">
        <v>116</v>
      </c>
      <c r="E24" s="35" t="s">
        <v>117</v>
      </c>
      <c r="F24" s="35">
        <v>75751</v>
      </c>
      <c r="G24" s="28">
        <v>4</v>
      </c>
      <c r="H24" s="28" t="s">
        <v>1</v>
      </c>
      <c r="I24" s="28" t="s">
        <v>107</v>
      </c>
      <c r="J24" s="28"/>
      <c r="K24" s="28" t="s">
        <v>107</v>
      </c>
      <c r="L24" s="35" t="s">
        <v>205</v>
      </c>
      <c r="M24" s="28">
        <v>50</v>
      </c>
      <c r="N24" s="28">
        <v>22</v>
      </c>
      <c r="O24" s="28">
        <v>72</v>
      </c>
      <c r="P24" s="35" t="s">
        <v>3</v>
      </c>
      <c r="Q24" s="68">
        <v>855740.1249999999</v>
      </c>
      <c r="R24" s="29"/>
      <c r="S24" s="29"/>
      <c r="T24" s="35" t="s">
        <v>36</v>
      </c>
      <c r="U24" s="35" t="s">
        <v>9</v>
      </c>
      <c r="V24" s="35">
        <v>121</v>
      </c>
      <c r="W24" s="35">
        <v>17</v>
      </c>
      <c r="X24" s="35">
        <v>4</v>
      </c>
      <c r="Y24" s="35">
        <v>8</v>
      </c>
      <c r="Z24" s="35">
        <v>2</v>
      </c>
      <c r="AB24" s="38">
        <f t="shared" si="0"/>
        <v>152</v>
      </c>
      <c r="AC24" s="85" t="s">
        <v>225</v>
      </c>
      <c r="AD24" s="85" t="s">
        <v>225</v>
      </c>
      <c r="AE24" s="85" t="s">
        <v>217</v>
      </c>
      <c r="AG24" s="35">
        <v>48213950400</v>
      </c>
      <c r="AH24" s="35" t="s">
        <v>124</v>
      </c>
      <c r="AI24" s="28">
        <v>7</v>
      </c>
      <c r="AJ24" s="28">
        <v>10.9</v>
      </c>
      <c r="AK24" s="30">
        <f>(68+71+73)/3</f>
        <v>70.66666666666667</v>
      </c>
      <c r="AL24" s="69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</row>
    <row r="25" spans="1:122" s="35" customFormat="1" ht="15" customHeight="1">
      <c r="A25" s="38">
        <v>16044</v>
      </c>
      <c r="B25" s="35" t="s">
        <v>286</v>
      </c>
      <c r="C25" s="35" t="s">
        <v>287</v>
      </c>
      <c r="D25" s="35" t="s">
        <v>288</v>
      </c>
      <c r="E25" s="35" t="s">
        <v>289</v>
      </c>
      <c r="F25" s="35">
        <v>78064</v>
      </c>
      <c r="G25" s="28">
        <v>9</v>
      </c>
      <c r="H25" s="28" t="s">
        <v>1</v>
      </c>
      <c r="I25" s="28"/>
      <c r="J25" s="28" t="s">
        <v>107</v>
      </c>
      <c r="K25" s="28"/>
      <c r="L25" s="35" t="s">
        <v>229</v>
      </c>
      <c r="M25" s="28">
        <v>23</v>
      </c>
      <c r="N25" s="28">
        <v>1</v>
      </c>
      <c r="O25" s="28">
        <v>24</v>
      </c>
      <c r="P25" s="35" t="s">
        <v>256</v>
      </c>
      <c r="Q25" s="142">
        <v>211500</v>
      </c>
      <c r="R25" s="29"/>
      <c r="S25" s="34" t="s">
        <v>107</v>
      </c>
      <c r="T25" s="35" t="s">
        <v>137</v>
      </c>
      <c r="U25" s="35" t="s">
        <v>257</v>
      </c>
      <c r="V25" s="35">
        <v>119</v>
      </c>
      <c r="W25" s="35">
        <v>17</v>
      </c>
      <c r="X25" s="35">
        <v>8</v>
      </c>
      <c r="Y25" s="35">
        <v>8</v>
      </c>
      <c r="Z25" s="35">
        <v>0</v>
      </c>
      <c r="AB25" s="38">
        <f t="shared" si="0"/>
        <v>152</v>
      </c>
      <c r="AC25" s="85" t="s">
        <v>217</v>
      </c>
      <c r="AD25" s="85" t="s">
        <v>217</v>
      </c>
      <c r="AE25" s="85" t="s">
        <v>217</v>
      </c>
      <c r="AF25" s="38" t="s">
        <v>627</v>
      </c>
      <c r="AG25" s="35">
        <v>48013960402</v>
      </c>
      <c r="AH25" s="35" t="s">
        <v>115</v>
      </c>
      <c r="AI25" s="28">
        <v>7</v>
      </c>
      <c r="AJ25" s="28">
        <v>13.8</v>
      </c>
      <c r="AK25" s="30">
        <f>(66+71+75)/3</f>
        <v>70.66666666666667</v>
      </c>
      <c r="AL25" s="108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</row>
    <row r="26" spans="1:122" s="35" customFormat="1" ht="15" customHeight="1">
      <c r="A26" s="38">
        <v>16038</v>
      </c>
      <c r="B26" s="38" t="s">
        <v>290</v>
      </c>
      <c r="C26" s="38" t="s">
        <v>291</v>
      </c>
      <c r="D26" s="38" t="s">
        <v>292</v>
      </c>
      <c r="E26" s="38" t="s">
        <v>293</v>
      </c>
      <c r="F26" s="38">
        <v>78732</v>
      </c>
      <c r="G26" s="31">
        <v>10</v>
      </c>
      <c r="H26" s="31" t="s">
        <v>1</v>
      </c>
      <c r="I26" s="31"/>
      <c r="J26" s="31" t="s">
        <v>107</v>
      </c>
      <c r="K26" s="31"/>
      <c r="L26" s="38" t="s">
        <v>229</v>
      </c>
      <c r="M26" s="63">
        <v>24</v>
      </c>
      <c r="N26" s="63">
        <v>0</v>
      </c>
      <c r="O26" s="63">
        <v>24</v>
      </c>
      <c r="P26" s="38" t="s">
        <v>256</v>
      </c>
      <c r="Q26" s="64">
        <v>216805</v>
      </c>
      <c r="R26" s="32"/>
      <c r="S26" s="32"/>
      <c r="T26" s="38" t="s">
        <v>137</v>
      </c>
      <c r="U26" s="38" t="s">
        <v>257</v>
      </c>
      <c r="V26" s="38">
        <v>119</v>
      </c>
      <c r="W26" s="38">
        <v>17</v>
      </c>
      <c r="X26" s="38">
        <v>8</v>
      </c>
      <c r="Y26" s="38">
        <v>8</v>
      </c>
      <c r="Z26" s="38">
        <v>0</v>
      </c>
      <c r="AA26" s="38"/>
      <c r="AB26" s="38">
        <f t="shared" si="0"/>
        <v>152</v>
      </c>
      <c r="AC26" s="85" t="s">
        <v>225</v>
      </c>
      <c r="AD26" s="85" t="s">
        <v>225</v>
      </c>
      <c r="AE26" s="85" t="s">
        <v>217</v>
      </c>
      <c r="AG26" s="38">
        <v>48249950100</v>
      </c>
      <c r="AH26" s="38" t="s">
        <v>124</v>
      </c>
      <c r="AI26" s="31">
        <v>6</v>
      </c>
      <c r="AJ26" s="31">
        <v>15.9</v>
      </c>
      <c r="AK26" s="36">
        <f>(71+67+84)/3</f>
        <v>74</v>
      </c>
      <c r="AL26" s="39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</row>
    <row r="27" spans="1:122" s="35" customFormat="1" ht="15" customHeight="1">
      <c r="A27" s="38">
        <v>16066</v>
      </c>
      <c r="B27" s="38" t="s">
        <v>294</v>
      </c>
      <c r="C27" s="38" t="s">
        <v>295</v>
      </c>
      <c r="D27" s="38" t="s">
        <v>37</v>
      </c>
      <c r="E27" s="38" t="s">
        <v>38</v>
      </c>
      <c r="F27" s="38">
        <v>78411</v>
      </c>
      <c r="G27" s="31">
        <v>10</v>
      </c>
      <c r="H27" s="31" t="s">
        <v>5</v>
      </c>
      <c r="I27" s="31" t="s">
        <v>107</v>
      </c>
      <c r="J27" s="31"/>
      <c r="K27" s="31" t="s">
        <v>107</v>
      </c>
      <c r="L27" s="38" t="s">
        <v>228</v>
      </c>
      <c r="M27" s="31">
        <v>60</v>
      </c>
      <c r="N27" s="31">
        <v>0</v>
      </c>
      <c r="O27" s="31">
        <v>60</v>
      </c>
      <c r="P27" s="38" t="s">
        <v>3</v>
      </c>
      <c r="Q27" s="64">
        <v>1075000</v>
      </c>
      <c r="R27" s="32"/>
      <c r="S27" s="32"/>
      <c r="T27" s="38" t="s">
        <v>126</v>
      </c>
      <c r="U27" s="38" t="s">
        <v>125</v>
      </c>
      <c r="V27" s="38">
        <v>119</v>
      </c>
      <c r="W27" s="38">
        <v>17</v>
      </c>
      <c r="X27" s="38">
        <v>8</v>
      </c>
      <c r="Y27" s="38">
        <v>8</v>
      </c>
      <c r="Z27" s="38">
        <v>0</v>
      </c>
      <c r="AA27" s="38"/>
      <c r="AB27" s="38">
        <f t="shared" si="0"/>
        <v>152</v>
      </c>
      <c r="AC27" s="85" t="s">
        <v>225</v>
      </c>
      <c r="AD27" s="85" t="s">
        <v>225</v>
      </c>
      <c r="AE27" s="85" t="s">
        <v>237</v>
      </c>
      <c r="AG27" s="38">
        <v>48355002200</v>
      </c>
      <c r="AH27" s="38" t="s">
        <v>112</v>
      </c>
      <c r="AI27" s="31">
        <v>0</v>
      </c>
      <c r="AJ27" s="31">
        <v>20.5</v>
      </c>
      <c r="AK27" s="36">
        <f>(62+77+74)/3</f>
        <v>71</v>
      </c>
      <c r="AL27" s="39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</row>
    <row r="28" spans="1:122" s="35" customFormat="1" ht="15" customHeight="1">
      <c r="A28" s="38">
        <v>16342</v>
      </c>
      <c r="B28" s="35" t="s">
        <v>134</v>
      </c>
      <c r="C28" s="35" t="s">
        <v>135</v>
      </c>
      <c r="D28" s="35" t="s">
        <v>136</v>
      </c>
      <c r="E28" s="35" t="s">
        <v>65</v>
      </c>
      <c r="F28" s="35">
        <v>75501</v>
      </c>
      <c r="G28" s="28">
        <v>4</v>
      </c>
      <c r="H28" s="28" t="s">
        <v>5</v>
      </c>
      <c r="I28" s="28" t="s">
        <v>107</v>
      </c>
      <c r="J28" s="28"/>
      <c r="K28" s="28"/>
      <c r="L28" s="35" t="s">
        <v>228</v>
      </c>
      <c r="M28" s="28">
        <v>130</v>
      </c>
      <c r="N28" s="28">
        <v>0</v>
      </c>
      <c r="O28" s="28">
        <v>130</v>
      </c>
      <c r="P28" s="35" t="s">
        <v>256</v>
      </c>
      <c r="Q28" s="68">
        <v>1330000</v>
      </c>
      <c r="R28" s="29"/>
      <c r="S28" s="29"/>
      <c r="T28" s="35" t="s">
        <v>296</v>
      </c>
      <c r="U28" s="35" t="s">
        <v>52</v>
      </c>
      <c r="V28" s="35">
        <v>119</v>
      </c>
      <c r="W28" s="35">
        <v>17</v>
      </c>
      <c r="X28" s="35">
        <v>8</v>
      </c>
      <c r="Y28" s="35">
        <v>8</v>
      </c>
      <c r="Z28" s="35">
        <v>0</v>
      </c>
      <c r="AB28" s="38">
        <f t="shared" si="0"/>
        <v>152</v>
      </c>
      <c r="AC28" s="85" t="s">
        <v>225</v>
      </c>
      <c r="AD28" s="85" t="s">
        <v>225</v>
      </c>
      <c r="AE28" s="85" t="s">
        <v>225</v>
      </c>
      <c r="AG28" s="35">
        <v>48037010800</v>
      </c>
      <c r="AH28" s="35" t="s">
        <v>110</v>
      </c>
      <c r="AI28" s="28">
        <v>0</v>
      </c>
      <c r="AJ28" s="28">
        <v>24.4</v>
      </c>
      <c r="AK28" s="30">
        <f>(55+77+79)/3</f>
        <v>70.33333333333333</v>
      </c>
      <c r="AL28" s="69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</row>
    <row r="29" spans="1:122" s="35" customFormat="1" ht="15" customHeight="1">
      <c r="A29" s="38">
        <v>16131</v>
      </c>
      <c r="B29" s="35" t="s">
        <v>297</v>
      </c>
      <c r="C29" s="35" t="s">
        <v>298</v>
      </c>
      <c r="D29" s="35" t="s">
        <v>299</v>
      </c>
      <c r="E29" s="35" t="s">
        <v>47</v>
      </c>
      <c r="F29" s="35">
        <v>76033</v>
      </c>
      <c r="G29" s="28">
        <v>3</v>
      </c>
      <c r="H29" s="28" t="s">
        <v>5</v>
      </c>
      <c r="I29" s="28" t="s">
        <v>107</v>
      </c>
      <c r="J29" s="28"/>
      <c r="K29" s="28"/>
      <c r="L29" s="35" t="s">
        <v>229</v>
      </c>
      <c r="M29" s="28">
        <v>48</v>
      </c>
      <c r="N29" s="28">
        <v>1</v>
      </c>
      <c r="O29" s="28">
        <v>49</v>
      </c>
      <c r="P29" s="35" t="s">
        <v>256</v>
      </c>
      <c r="Q29" s="68">
        <v>460732.358956</v>
      </c>
      <c r="R29" s="29"/>
      <c r="S29" s="29"/>
      <c r="T29" s="35" t="s">
        <v>268</v>
      </c>
      <c r="U29" s="35" t="s">
        <v>269</v>
      </c>
      <c r="V29" s="35">
        <v>118</v>
      </c>
      <c r="W29" s="35">
        <v>17</v>
      </c>
      <c r="X29" s="35">
        <v>8</v>
      </c>
      <c r="Y29" s="35">
        <v>8</v>
      </c>
      <c r="Z29" s="35">
        <v>0</v>
      </c>
      <c r="AB29" s="38">
        <f t="shared" si="0"/>
        <v>151</v>
      </c>
      <c r="AC29" s="85" t="s">
        <v>225</v>
      </c>
      <c r="AD29" s="85" t="s">
        <v>225</v>
      </c>
      <c r="AE29" s="85" t="s">
        <v>217</v>
      </c>
      <c r="AG29" s="35">
        <v>48251131100</v>
      </c>
      <c r="AH29" s="35" t="s">
        <v>112</v>
      </c>
      <c r="AI29" s="28">
        <v>0</v>
      </c>
      <c r="AJ29" s="28">
        <v>10.6</v>
      </c>
      <c r="AK29" s="30">
        <f>(73+65+72)/3</f>
        <v>70</v>
      </c>
      <c r="AL29" s="69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</row>
    <row r="30" spans="1:122" s="35" customFormat="1" ht="15" customHeight="1">
      <c r="A30" s="38">
        <v>16009</v>
      </c>
      <c r="B30" s="38" t="s">
        <v>300</v>
      </c>
      <c r="C30" s="38" t="s">
        <v>301</v>
      </c>
      <c r="D30" s="38" t="s">
        <v>7</v>
      </c>
      <c r="E30" s="38" t="s">
        <v>8</v>
      </c>
      <c r="F30" s="38">
        <v>78202</v>
      </c>
      <c r="G30" s="31">
        <v>9</v>
      </c>
      <c r="H30" s="31" t="s">
        <v>5</v>
      </c>
      <c r="I30" s="31" t="s">
        <v>107</v>
      </c>
      <c r="J30" s="31"/>
      <c r="K30" s="31" t="s">
        <v>107</v>
      </c>
      <c r="L30" s="35" t="s">
        <v>205</v>
      </c>
      <c r="M30" s="63">
        <v>94</v>
      </c>
      <c r="N30" s="63">
        <v>23</v>
      </c>
      <c r="O30" s="63">
        <v>117</v>
      </c>
      <c r="P30" s="38" t="s">
        <v>3</v>
      </c>
      <c r="Q30" s="64">
        <v>1533500</v>
      </c>
      <c r="R30" s="32"/>
      <c r="S30" s="32"/>
      <c r="T30" s="38" t="s">
        <v>302</v>
      </c>
      <c r="U30" s="38" t="s">
        <v>127</v>
      </c>
      <c r="V30" s="38">
        <v>117</v>
      </c>
      <c r="W30" s="38">
        <v>17</v>
      </c>
      <c r="X30" s="38">
        <v>8</v>
      </c>
      <c r="Y30" s="38">
        <v>8</v>
      </c>
      <c r="Z30" s="38">
        <v>0</v>
      </c>
      <c r="AA30" s="38"/>
      <c r="AB30" s="38">
        <f t="shared" si="0"/>
        <v>150</v>
      </c>
      <c r="AC30" s="85" t="s">
        <v>225</v>
      </c>
      <c r="AD30" s="85" t="s">
        <v>225</v>
      </c>
      <c r="AE30" s="85" t="s">
        <v>225</v>
      </c>
      <c r="AG30" s="38">
        <v>48029130600</v>
      </c>
      <c r="AH30" s="38" t="s">
        <v>110</v>
      </c>
      <c r="AI30" s="31">
        <v>0</v>
      </c>
      <c r="AJ30" s="31">
        <v>51.2</v>
      </c>
      <c r="AK30" s="36">
        <v>0</v>
      </c>
      <c r="AL30" s="4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</row>
    <row r="31" spans="1:122" s="35" customFormat="1" ht="15" customHeight="1">
      <c r="A31" s="38">
        <v>16080</v>
      </c>
      <c r="B31" s="35" t="s">
        <v>303</v>
      </c>
      <c r="C31" s="35" t="s">
        <v>304</v>
      </c>
      <c r="D31" s="35" t="s">
        <v>305</v>
      </c>
      <c r="E31" s="35" t="s">
        <v>35</v>
      </c>
      <c r="F31" s="35">
        <v>75065</v>
      </c>
      <c r="G31" s="28">
        <v>3</v>
      </c>
      <c r="H31" s="28" t="s">
        <v>5</v>
      </c>
      <c r="I31" s="28"/>
      <c r="J31" s="28" t="s">
        <v>107</v>
      </c>
      <c r="K31" s="28"/>
      <c r="L31" s="35" t="s">
        <v>229</v>
      </c>
      <c r="M31" s="28">
        <v>40</v>
      </c>
      <c r="N31" s="28">
        <v>0</v>
      </c>
      <c r="O31" s="28">
        <v>40</v>
      </c>
      <c r="P31" s="35" t="s">
        <v>3</v>
      </c>
      <c r="Q31" s="68">
        <v>392439</v>
      </c>
      <c r="R31" s="29"/>
      <c r="S31" s="29"/>
      <c r="T31" s="35" t="s">
        <v>147</v>
      </c>
      <c r="U31" s="35" t="s">
        <v>2</v>
      </c>
      <c r="V31" s="35">
        <v>122</v>
      </c>
      <c r="W31" s="35">
        <v>17</v>
      </c>
      <c r="X31" s="35">
        <v>4</v>
      </c>
      <c r="Y31" s="35">
        <v>0</v>
      </c>
      <c r="Z31" s="35">
        <v>4</v>
      </c>
      <c r="AB31" s="38">
        <f t="shared" si="0"/>
        <v>147</v>
      </c>
      <c r="AC31" s="85" t="s">
        <v>217</v>
      </c>
      <c r="AD31" s="85" t="s">
        <v>225</v>
      </c>
      <c r="AE31" s="85" t="s">
        <v>217</v>
      </c>
      <c r="AG31" s="35">
        <v>48121021403</v>
      </c>
      <c r="AH31" s="35" t="s">
        <v>115</v>
      </c>
      <c r="AI31" s="28">
        <v>6</v>
      </c>
      <c r="AJ31" s="28">
        <v>3.8</v>
      </c>
      <c r="AK31" s="30">
        <f>(84+86+84)/3</f>
        <v>84.66666666666667</v>
      </c>
      <c r="AL31" s="69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</row>
    <row r="32" spans="1:122" s="35" customFormat="1" ht="15" customHeight="1">
      <c r="A32" s="38">
        <v>16248</v>
      </c>
      <c r="B32" s="35" t="s">
        <v>306</v>
      </c>
      <c r="C32" s="35" t="s">
        <v>307</v>
      </c>
      <c r="D32" s="35" t="s">
        <v>308</v>
      </c>
      <c r="E32" s="35" t="s">
        <v>308</v>
      </c>
      <c r="F32" s="35">
        <v>77550</v>
      </c>
      <c r="G32" s="28">
        <v>6</v>
      </c>
      <c r="H32" s="28" t="s">
        <v>5</v>
      </c>
      <c r="I32" s="28" t="s">
        <v>107</v>
      </c>
      <c r="J32" s="28"/>
      <c r="K32" s="28"/>
      <c r="L32" s="35" t="s">
        <v>229</v>
      </c>
      <c r="M32" s="28">
        <v>192</v>
      </c>
      <c r="N32" s="28">
        <v>0</v>
      </c>
      <c r="O32" s="28">
        <v>192</v>
      </c>
      <c r="P32" s="35" t="s">
        <v>3</v>
      </c>
      <c r="Q32" s="68">
        <v>1500000</v>
      </c>
      <c r="R32" s="29"/>
      <c r="S32" s="29"/>
      <c r="T32" s="35" t="s">
        <v>309</v>
      </c>
      <c r="U32" s="35" t="s">
        <v>310</v>
      </c>
      <c r="V32" s="35">
        <v>110</v>
      </c>
      <c r="W32" s="35">
        <v>17</v>
      </c>
      <c r="X32" s="35">
        <v>4</v>
      </c>
      <c r="Y32" s="35">
        <v>8</v>
      </c>
      <c r="Z32" s="35">
        <v>4</v>
      </c>
      <c r="AB32" s="38">
        <f>SUM(V32:AA32)</f>
        <v>143</v>
      </c>
      <c r="AC32" s="85" t="s">
        <v>225</v>
      </c>
      <c r="AD32" s="85" t="s">
        <v>225</v>
      </c>
      <c r="AE32" s="85" t="s">
        <v>225</v>
      </c>
      <c r="AG32" s="35">
        <v>48167724600</v>
      </c>
      <c r="AH32" s="35" t="s">
        <v>110</v>
      </c>
      <c r="AI32" s="28">
        <v>0</v>
      </c>
      <c r="AJ32" s="28">
        <v>63.9</v>
      </c>
      <c r="AK32" s="30">
        <v>0</v>
      </c>
      <c r="AL32" s="69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</row>
    <row r="33" spans="1:122" s="35" customFormat="1" ht="15" customHeight="1">
      <c r="A33" s="38">
        <v>16078</v>
      </c>
      <c r="B33" s="35" t="s">
        <v>311</v>
      </c>
      <c r="C33" s="35" t="s">
        <v>312</v>
      </c>
      <c r="D33" s="35" t="s">
        <v>313</v>
      </c>
      <c r="E33" s="35" t="s">
        <v>146</v>
      </c>
      <c r="F33" s="35">
        <v>77995</v>
      </c>
      <c r="G33" s="28">
        <v>10</v>
      </c>
      <c r="H33" s="28" t="s">
        <v>1</v>
      </c>
      <c r="I33" s="28"/>
      <c r="J33" s="28" t="s">
        <v>107</v>
      </c>
      <c r="K33" s="28"/>
      <c r="L33" s="35" t="s">
        <v>229</v>
      </c>
      <c r="M33" s="28">
        <v>40</v>
      </c>
      <c r="N33" s="28">
        <v>0</v>
      </c>
      <c r="O33" s="28">
        <v>40</v>
      </c>
      <c r="P33" s="35" t="s">
        <v>3</v>
      </c>
      <c r="Q33" s="68">
        <v>352500</v>
      </c>
      <c r="R33" s="29"/>
      <c r="S33" s="29"/>
      <c r="T33" s="35" t="s">
        <v>147</v>
      </c>
      <c r="U33" s="35" t="s">
        <v>2</v>
      </c>
      <c r="V33" s="35">
        <v>119</v>
      </c>
      <c r="W33" s="35">
        <v>17</v>
      </c>
      <c r="X33" s="35">
        <v>4</v>
      </c>
      <c r="Y33" s="35">
        <v>0</v>
      </c>
      <c r="Z33" s="35">
        <v>4</v>
      </c>
      <c r="AB33" s="38">
        <f t="shared" si="0"/>
        <v>144</v>
      </c>
      <c r="AC33" s="85" t="s">
        <v>225</v>
      </c>
      <c r="AD33" s="85" t="s">
        <v>225</v>
      </c>
      <c r="AE33" s="85" t="s">
        <v>217</v>
      </c>
      <c r="AG33" s="35">
        <v>48285000500</v>
      </c>
      <c r="AH33" s="35" t="s">
        <v>115</v>
      </c>
      <c r="AI33" s="28">
        <v>7</v>
      </c>
      <c r="AJ33" s="28">
        <v>8.1</v>
      </c>
      <c r="AK33" s="30">
        <f>(75+74+78)/3</f>
        <v>75.66666666666667</v>
      </c>
      <c r="AL33" s="69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</row>
    <row r="34" spans="1:122" s="35" customFormat="1" ht="15" customHeight="1">
      <c r="A34" s="38">
        <v>16149</v>
      </c>
      <c r="B34" s="35" t="s">
        <v>314</v>
      </c>
      <c r="C34" s="35" t="s">
        <v>105</v>
      </c>
      <c r="D34" s="35" t="s">
        <v>106</v>
      </c>
      <c r="E34" s="35" t="s">
        <v>28</v>
      </c>
      <c r="F34" s="35">
        <v>75551</v>
      </c>
      <c r="G34" s="28">
        <v>4</v>
      </c>
      <c r="H34" s="28" t="s">
        <v>1</v>
      </c>
      <c r="I34" s="28" t="s">
        <v>107</v>
      </c>
      <c r="J34" s="28" t="s">
        <v>107</v>
      </c>
      <c r="K34" s="28"/>
      <c r="L34" s="35" t="s">
        <v>229</v>
      </c>
      <c r="M34" s="28">
        <v>72</v>
      </c>
      <c r="N34" s="28">
        <v>0</v>
      </c>
      <c r="O34" s="28">
        <v>72</v>
      </c>
      <c r="P34" s="35" t="s">
        <v>3</v>
      </c>
      <c r="Q34" s="68">
        <v>489307</v>
      </c>
      <c r="R34" s="29"/>
      <c r="S34" s="29"/>
      <c r="T34" s="35" t="s">
        <v>108</v>
      </c>
      <c r="U34" s="35" t="s">
        <v>109</v>
      </c>
      <c r="V34" s="35">
        <v>125</v>
      </c>
      <c r="W34" s="35">
        <v>0</v>
      </c>
      <c r="X34" s="35">
        <v>4</v>
      </c>
      <c r="Y34" s="35">
        <v>0</v>
      </c>
      <c r="Z34" s="35">
        <v>0</v>
      </c>
      <c r="AB34" s="38">
        <f t="shared" si="0"/>
        <v>129</v>
      </c>
      <c r="AC34" s="85" t="s">
        <v>225</v>
      </c>
      <c r="AD34" s="85" t="s">
        <v>225</v>
      </c>
      <c r="AE34" s="85" t="s">
        <v>237</v>
      </c>
      <c r="AG34" s="35">
        <v>48067950400</v>
      </c>
      <c r="AH34" s="35" t="s">
        <v>110</v>
      </c>
      <c r="AI34" s="28">
        <v>7</v>
      </c>
      <c r="AJ34" s="28">
        <v>23.4</v>
      </c>
      <c r="AK34" s="30">
        <f>(88+78+84)/3</f>
        <v>83.33333333333333</v>
      </c>
      <c r="AL34" s="108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</row>
    <row r="35" spans="1:122" s="116" customFormat="1" ht="15">
      <c r="A35" s="41" t="s">
        <v>315</v>
      </c>
      <c r="B35" s="109"/>
      <c r="C35" s="110">
        <v>9949278.19</v>
      </c>
      <c r="D35" s="111"/>
      <c r="E35" s="111"/>
      <c r="F35" s="111"/>
      <c r="G35" s="42"/>
      <c r="H35" s="42"/>
      <c r="I35" s="42"/>
      <c r="J35" s="42"/>
      <c r="K35" s="43"/>
      <c r="L35" s="111"/>
      <c r="M35" s="42"/>
      <c r="N35" s="42"/>
      <c r="O35" s="42"/>
      <c r="P35" s="44" t="s">
        <v>84</v>
      </c>
      <c r="Q35" s="112">
        <f>SUM(Q8:Q34)</f>
        <v>19562235.713956</v>
      </c>
      <c r="R35" s="45"/>
      <c r="S35" s="45"/>
      <c r="T35" s="111"/>
      <c r="U35" s="111"/>
      <c r="V35" s="111"/>
      <c r="W35" s="111"/>
      <c r="X35" s="111"/>
      <c r="Y35" s="111"/>
      <c r="Z35" s="111"/>
      <c r="AA35" s="111"/>
      <c r="AB35" s="38"/>
      <c r="AC35" s="85"/>
      <c r="AD35" s="85"/>
      <c r="AE35" s="85"/>
      <c r="AF35" s="113"/>
      <c r="AG35" s="35"/>
      <c r="AH35" s="111"/>
      <c r="AI35" s="114"/>
      <c r="AJ35" s="114"/>
      <c r="AK35" s="45"/>
      <c r="AL35" s="115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</row>
    <row r="36" spans="1:122" s="116" customFormat="1" ht="15">
      <c r="A36" s="117"/>
      <c r="B36" s="118" t="s">
        <v>97</v>
      </c>
      <c r="C36" s="110">
        <v>3351304</v>
      </c>
      <c r="D36" s="111"/>
      <c r="E36" s="111"/>
      <c r="F36" s="111"/>
      <c r="G36" s="42"/>
      <c r="H36" s="42"/>
      <c r="I36" s="42"/>
      <c r="J36" s="42"/>
      <c r="K36" s="43"/>
      <c r="L36" s="111"/>
      <c r="M36" s="42"/>
      <c r="N36" s="42"/>
      <c r="O36" s="42"/>
      <c r="P36" s="111"/>
      <c r="Q36" s="111"/>
      <c r="R36" s="47"/>
      <c r="S36" s="47"/>
      <c r="T36" s="111"/>
      <c r="U36" s="111"/>
      <c r="V36" s="111"/>
      <c r="W36" s="111"/>
      <c r="X36" s="111"/>
      <c r="Y36" s="111"/>
      <c r="Z36" s="111"/>
      <c r="AA36" s="111"/>
      <c r="AB36" s="38"/>
      <c r="AC36" s="85"/>
      <c r="AD36" s="85"/>
      <c r="AE36" s="85"/>
      <c r="AF36" s="113"/>
      <c r="AG36" s="119"/>
      <c r="AH36" s="111"/>
      <c r="AI36" s="114"/>
      <c r="AJ36" s="114"/>
      <c r="AK36" s="45"/>
      <c r="AL36" s="115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</row>
    <row r="37" spans="1:122" s="35" customFormat="1" ht="12" customHeight="1">
      <c r="A37" s="48"/>
      <c r="B37" s="3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20"/>
      <c r="R37" s="121"/>
      <c r="S37" s="121"/>
      <c r="V37" s="28"/>
      <c r="AB37" s="38"/>
      <c r="AC37" s="85"/>
      <c r="AD37" s="85"/>
      <c r="AE37" s="85"/>
      <c r="AF37" s="113"/>
      <c r="AH37" s="49"/>
      <c r="AI37" s="28"/>
      <c r="AJ37" s="28"/>
      <c r="AK37" s="50"/>
      <c r="AL37" s="69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</row>
    <row r="38" spans="1:122" s="35" customFormat="1" ht="17.25" customHeight="1">
      <c r="A38" s="51" t="str">
        <f>CONCATENATE("Region ",G41,"/",H41)</f>
        <v>Region 1/Rural</v>
      </c>
      <c r="B38" s="113"/>
      <c r="C38" s="119"/>
      <c r="D38" s="119"/>
      <c r="E38" s="119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22"/>
      <c r="R38" s="123"/>
      <c r="S38" s="123"/>
      <c r="T38" s="119"/>
      <c r="U38" s="119"/>
      <c r="V38" s="53"/>
      <c r="W38" s="119"/>
      <c r="X38" s="119"/>
      <c r="Y38" s="119"/>
      <c r="Z38" s="119"/>
      <c r="AA38" s="119"/>
      <c r="AB38" s="38"/>
      <c r="AC38" s="85"/>
      <c r="AD38" s="85"/>
      <c r="AE38" s="85"/>
      <c r="AF38" s="113"/>
      <c r="AG38" s="38"/>
      <c r="AH38" s="62"/>
      <c r="AI38" s="53"/>
      <c r="AJ38" s="53"/>
      <c r="AK38" s="124"/>
      <c r="AL38" s="69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</row>
    <row r="39" spans="1:122" s="38" customFormat="1" ht="15.75" customHeight="1">
      <c r="A39" s="38">
        <v>16034</v>
      </c>
      <c r="B39" s="38" t="s">
        <v>316</v>
      </c>
      <c r="C39" s="38" t="s">
        <v>317</v>
      </c>
      <c r="D39" s="38" t="s">
        <v>318</v>
      </c>
      <c r="E39" s="35" t="s">
        <v>319</v>
      </c>
      <c r="F39" s="35">
        <v>79072</v>
      </c>
      <c r="G39" s="28">
        <v>1</v>
      </c>
      <c r="H39" s="28" t="s">
        <v>1</v>
      </c>
      <c r="I39" s="28"/>
      <c r="J39" s="28"/>
      <c r="K39" s="28"/>
      <c r="L39" s="35" t="s">
        <v>320</v>
      </c>
      <c r="M39" s="67">
        <v>29</v>
      </c>
      <c r="N39" s="67">
        <v>0</v>
      </c>
      <c r="O39" s="67">
        <v>29</v>
      </c>
      <c r="P39" s="35" t="s">
        <v>3</v>
      </c>
      <c r="Q39" s="68">
        <v>462000</v>
      </c>
      <c r="R39" s="29"/>
      <c r="S39" s="29"/>
      <c r="T39" s="35" t="s">
        <v>321</v>
      </c>
      <c r="U39" s="35" t="s">
        <v>322</v>
      </c>
      <c r="V39" s="35">
        <v>126</v>
      </c>
      <c r="W39" s="35">
        <v>17</v>
      </c>
      <c r="X39" s="35">
        <v>4</v>
      </c>
      <c r="Y39" s="35">
        <v>8</v>
      </c>
      <c r="Z39" s="35">
        <v>4</v>
      </c>
      <c r="AA39" s="35"/>
      <c r="AB39" s="38">
        <f>SUM(V39:AA39)</f>
        <v>159</v>
      </c>
      <c r="AC39" s="85" t="s">
        <v>217</v>
      </c>
      <c r="AD39" s="85" t="s">
        <v>217</v>
      </c>
      <c r="AE39" s="85" t="s">
        <v>237</v>
      </c>
      <c r="AF39" s="38" t="s">
        <v>627</v>
      </c>
      <c r="AG39" s="35">
        <v>48189950500</v>
      </c>
      <c r="AH39" s="35" t="s">
        <v>110</v>
      </c>
      <c r="AI39" s="28">
        <v>7</v>
      </c>
      <c r="AJ39" s="28">
        <v>24.4</v>
      </c>
      <c r="AK39" s="36">
        <f>(79+73+84)/3</f>
        <v>78.66666666666667</v>
      </c>
      <c r="AL39" s="39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</row>
    <row r="40" spans="1:122" s="38" customFormat="1" ht="15.75" customHeight="1">
      <c r="A40" s="38">
        <v>16043</v>
      </c>
      <c r="B40" s="38" t="s">
        <v>323</v>
      </c>
      <c r="C40" s="38" t="s">
        <v>324</v>
      </c>
      <c r="D40" s="38" t="s">
        <v>325</v>
      </c>
      <c r="E40" s="38" t="s">
        <v>326</v>
      </c>
      <c r="F40" s="38">
        <v>79068</v>
      </c>
      <c r="G40" s="31">
        <v>1</v>
      </c>
      <c r="H40" s="31" t="s">
        <v>1</v>
      </c>
      <c r="I40" s="31"/>
      <c r="J40" s="31"/>
      <c r="K40" s="31"/>
      <c r="L40" s="38" t="s">
        <v>205</v>
      </c>
      <c r="M40" s="63">
        <v>54</v>
      </c>
      <c r="N40" s="63">
        <v>6</v>
      </c>
      <c r="O40" s="63">
        <v>60</v>
      </c>
      <c r="P40" s="38" t="s">
        <v>253</v>
      </c>
      <c r="Q40" s="143">
        <v>628300</v>
      </c>
      <c r="R40" s="32"/>
      <c r="S40" s="32"/>
      <c r="T40" s="38" t="s">
        <v>327</v>
      </c>
      <c r="U40" s="38" t="s">
        <v>26</v>
      </c>
      <c r="V40" s="38">
        <v>125</v>
      </c>
      <c r="W40" s="38">
        <v>17</v>
      </c>
      <c r="X40" s="38">
        <v>4</v>
      </c>
      <c r="Y40" s="38">
        <v>8</v>
      </c>
      <c r="Z40" s="38">
        <v>4</v>
      </c>
      <c r="AB40" s="38">
        <f>SUM(V40:AA40)</f>
        <v>158</v>
      </c>
      <c r="AC40" s="85" t="s">
        <v>217</v>
      </c>
      <c r="AD40" s="85" t="s">
        <v>217</v>
      </c>
      <c r="AE40" s="85" t="s">
        <v>237</v>
      </c>
      <c r="AF40" s="38" t="s">
        <v>627</v>
      </c>
      <c r="AG40" s="38">
        <v>48065950200</v>
      </c>
      <c r="AH40" s="38" t="s">
        <v>124</v>
      </c>
      <c r="AI40" s="31">
        <v>7</v>
      </c>
      <c r="AJ40" s="31">
        <v>6</v>
      </c>
      <c r="AK40" s="36">
        <f>(96+91+93)/3</f>
        <v>93.33333333333333</v>
      </c>
      <c r="AL40" s="39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</row>
    <row r="41" spans="1:122" s="35" customFormat="1" ht="15.75" customHeight="1">
      <c r="A41" s="38">
        <v>16213</v>
      </c>
      <c r="B41" s="35" t="s">
        <v>328</v>
      </c>
      <c r="C41" s="35" t="s">
        <v>329</v>
      </c>
      <c r="D41" s="35" t="s">
        <v>150</v>
      </c>
      <c r="E41" s="35" t="s">
        <v>63</v>
      </c>
      <c r="F41" s="35">
        <v>79382</v>
      </c>
      <c r="G41" s="28">
        <v>1</v>
      </c>
      <c r="H41" s="28" t="s">
        <v>1</v>
      </c>
      <c r="I41" s="28"/>
      <c r="J41" s="28"/>
      <c r="K41" s="28"/>
      <c r="L41" s="35" t="s">
        <v>205</v>
      </c>
      <c r="M41" s="28">
        <v>47</v>
      </c>
      <c r="N41" s="28">
        <v>13</v>
      </c>
      <c r="O41" s="28">
        <v>60</v>
      </c>
      <c r="P41" s="35" t="s">
        <v>253</v>
      </c>
      <c r="Q41" s="68">
        <v>683525</v>
      </c>
      <c r="R41" s="29" t="s">
        <v>107</v>
      </c>
      <c r="S41" s="29"/>
      <c r="T41" s="35" t="s">
        <v>148</v>
      </c>
      <c r="U41" s="35" t="s">
        <v>61</v>
      </c>
      <c r="V41" s="35">
        <v>123</v>
      </c>
      <c r="W41" s="35">
        <v>17</v>
      </c>
      <c r="X41" s="35">
        <v>4</v>
      </c>
      <c r="Y41" s="35">
        <v>8</v>
      </c>
      <c r="Z41" s="35">
        <v>4</v>
      </c>
      <c r="AB41" s="38">
        <f>SUM(V41:AA41)</f>
        <v>156</v>
      </c>
      <c r="AC41" s="85" t="s">
        <v>225</v>
      </c>
      <c r="AD41" s="85" t="s">
        <v>225</v>
      </c>
      <c r="AE41" s="85" t="s">
        <v>237</v>
      </c>
      <c r="AG41" s="35">
        <v>48303010408</v>
      </c>
      <c r="AH41" s="35" t="s">
        <v>124</v>
      </c>
      <c r="AI41" s="28">
        <v>7</v>
      </c>
      <c r="AJ41" s="28">
        <v>8.7</v>
      </c>
      <c r="AK41" s="30">
        <f>(88+85+86)/3</f>
        <v>86.33333333333333</v>
      </c>
      <c r="AL41" s="69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</row>
    <row r="42" spans="1:122" s="116" customFormat="1" ht="15" outlineLevel="1">
      <c r="A42" s="41" t="s">
        <v>101</v>
      </c>
      <c r="B42" s="109"/>
      <c r="C42" s="110">
        <v>712067.5</v>
      </c>
      <c r="D42" s="111"/>
      <c r="E42" s="111"/>
      <c r="F42" s="111"/>
      <c r="G42" s="42"/>
      <c r="H42" s="42"/>
      <c r="I42" s="52"/>
      <c r="J42" s="42"/>
      <c r="K42" s="42"/>
      <c r="L42" s="111"/>
      <c r="M42" s="42"/>
      <c r="N42" s="42"/>
      <c r="O42" s="42"/>
      <c r="P42" s="44" t="s">
        <v>84</v>
      </c>
      <c r="Q42" s="112">
        <f>SUM(Q39:Q41)</f>
        <v>1773825</v>
      </c>
      <c r="R42" s="45"/>
      <c r="S42" s="45"/>
      <c r="T42" s="111"/>
      <c r="U42" s="111"/>
      <c r="V42" s="111"/>
      <c r="W42" s="111"/>
      <c r="X42" s="111"/>
      <c r="Y42" s="111"/>
      <c r="Z42" s="111"/>
      <c r="AA42" s="111"/>
      <c r="AB42" s="38"/>
      <c r="AC42" s="85"/>
      <c r="AD42" s="85"/>
      <c r="AE42" s="85"/>
      <c r="AF42" s="113"/>
      <c r="AG42" s="111"/>
      <c r="AH42" s="114"/>
      <c r="AI42" s="114"/>
      <c r="AJ42" s="45"/>
      <c r="AK42" s="46"/>
      <c r="AL42" s="115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</row>
    <row r="43" spans="1:122" s="35" customFormat="1" ht="12" customHeight="1">
      <c r="A43" s="48"/>
      <c r="F43" s="28"/>
      <c r="G43" s="28"/>
      <c r="H43" s="28"/>
      <c r="I43" s="28"/>
      <c r="J43" s="28"/>
      <c r="K43" s="28"/>
      <c r="L43" s="28"/>
      <c r="M43" s="28"/>
      <c r="N43" s="28"/>
      <c r="O43" s="28"/>
      <c r="R43" s="28"/>
      <c r="S43" s="28"/>
      <c r="V43" s="28"/>
      <c r="AB43" s="38"/>
      <c r="AC43" s="85"/>
      <c r="AD43" s="85"/>
      <c r="AE43" s="85"/>
      <c r="AF43" s="113"/>
      <c r="AH43" s="28"/>
      <c r="AI43" s="28"/>
      <c r="AJ43" s="50"/>
      <c r="AK43" s="30"/>
      <c r="AL43" s="69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</row>
    <row r="44" spans="1:122" s="35" customFormat="1" ht="15" customHeight="1">
      <c r="A44" s="51" t="str">
        <f>CONCATENATE("Region ",G45,"/",H45)</f>
        <v>Region 1/Urban</v>
      </c>
      <c r="B44" s="3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20"/>
      <c r="R44" s="121"/>
      <c r="S44" s="121"/>
      <c r="V44" s="28"/>
      <c r="AB44" s="38"/>
      <c r="AC44" s="85"/>
      <c r="AD44" s="85"/>
      <c r="AE44" s="85"/>
      <c r="AF44" s="113"/>
      <c r="AH44" s="28"/>
      <c r="AI44" s="28"/>
      <c r="AJ44" s="50"/>
      <c r="AK44" s="30"/>
      <c r="AL44" s="69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</row>
    <row r="45" spans="1:122" s="35" customFormat="1" ht="15" customHeight="1">
      <c r="A45" s="38">
        <v>16370</v>
      </c>
      <c r="B45" s="38" t="s">
        <v>330</v>
      </c>
      <c r="C45" s="38" t="s">
        <v>331</v>
      </c>
      <c r="D45" s="35" t="s">
        <v>63</v>
      </c>
      <c r="E45" s="35" t="s">
        <v>63</v>
      </c>
      <c r="F45" s="35">
        <v>79424</v>
      </c>
      <c r="G45" s="28">
        <v>1</v>
      </c>
      <c r="H45" s="28" t="s">
        <v>5</v>
      </c>
      <c r="L45" s="35" t="s">
        <v>205</v>
      </c>
      <c r="M45" s="28">
        <v>89</v>
      </c>
      <c r="N45" s="28">
        <v>19</v>
      </c>
      <c r="O45" s="28">
        <v>108</v>
      </c>
      <c r="P45" s="35" t="s">
        <v>253</v>
      </c>
      <c r="Q45" s="68">
        <v>1232312</v>
      </c>
      <c r="R45" s="29"/>
      <c r="S45" s="29"/>
      <c r="T45" s="35" t="s">
        <v>332</v>
      </c>
      <c r="U45" s="35" t="s">
        <v>333</v>
      </c>
      <c r="V45" s="35">
        <v>124</v>
      </c>
      <c r="W45" s="35">
        <v>17</v>
      </c>
      <c r="X45" s="35">
        <v>4</v>
      </c>
      <c r="Y45" s="35">
        <v>8</v>
      </c>
      <c r="Z45" s="35">
        <v>4</v>
      </c>
      <c r="AB45" s="38">
        <f>SUM(V45:AA45)</f>
        <v>157</v>
      </c>
      <c r="AC45" s="85" t="s">
        <v>217</v>
      </c>
      <c r="AD45" s="85" t="s">
        <v>217</v>
      </c>
      <c r="AE45" s="85" t="s">
        <v>237</v>
      </c>
      <c r="AF45" s="38" t="s">
        <v>627</v>
      </c>
      <c r="AG45" s="35">
        <v>48303010407</v>
      </c>
      <c r="AH45" s="35" t="s">
        <v>124</v>
      </c>
      <c r="AI45" s="28">
        <v>7</v>
      </c>
      <c r="AJ45" s="28">
        <v>1.6</v>
      </c>
      <c r="AK45" s="30">
        <f>(93+85+86)/3</f>
        <v>88</v>
      </c>
      <c r="AL45" s="69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</row>
    <row r="46" spans="1:122" s="35" customFormat="1" ht="15" customHeight="1">
      <c r="A46" s="38">
        <v>16003</v>
      </c>
      <c r="B46" s="35" t="s">
        <v>334</v>
      </c>
      <c r="C46" s="35" t="s">
        <v>335</v>
      </c>
      <c r="D46" s="35" t="s">
        <v>63</v>
      </c>
      <c r="E46" s="35" t="s">
        <v>63</v>
      </c>
      <c r="F46" s="35">
        <v>79424</v>
      </c>
      <c r="G46" s="28">
        <v>1</v>
      </c>
      <c r="H46" s="28" t="s">
        <v>5</v>
      </c>
      <c r="L46" s="35" t="s">
        <v>205</v>
      </c>
      <c r="M46" s="67">
        <v>108</v>
      </c>
      <c r="N46" s="67">
        <v>12</v>
      </c>
      <c r="O46" s="67">
        <v>120</v>
      </c>
      <c r="P46" s="35" t="s">
        <v>253</v>
      </c>
      <c r="Q46" s="68">
        <v>1232300</v>
      </c>
      <c r="R46" s="29"/>
      <c r="S46" s="29"/>
      <c r="T46" s="35" t="s">
        <v>185</v>
      </c>
      <c r="U46" s="35" t="s">
        <v>58</v>
      </c>
      <c r="V46" s="35">
        <v>124</v>
      </c>
      <c r="W46" s="35">
        <v>17</v>
      </c>
      <c r="X46" s="35">
        <v>4</v>
      </c>
      <c r="Y46" s="35">
        <v>8</v>
      </c>
      <c r="Z46" s="35">
        <v>4</v>
      </c>
      <c r="AB46" s="38">
        <f>SUM(V46:AA46)</f>
        <v>157</v>
      </c>
      <c r="AC46" s="85" t="s">
        <v>217</v>
      </c>
      <c r="AD46" s="85" t="s">
        <v>225</v>
      </c>
      <c r="AE46" s="85" t="s">
        <v>237</v>
      </c>
      <c r="AG46" s="35">
        <v>48303010408</v>
      </c>
      <c r="AH46" s="35" t="s">
        <v>124</v>
      </c>
      <c r="AI46" s="28">
        <v>7</v>
      </c>
      <c r="AJ46" s="28">
        <v>8.7</v>
      </c>
      <c r="AK46" s="30">
        <f>(92+85+86)/3</f>
        <v>87.66666666666667</v>
      </c>
      <c r="AL46" s="69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</row>
    <row r="47" spans="1:122" s="35" customFormat="1" ht="15" customHeight="1">
      <c r="A47" s="38">
        <v>16319</v>
      </c>
      <c r="B47" s="38" t="s">
        <v>336</v>
      </c>
      <c r="C47" s="38" t="s">
        <v>337</v>
      </c>
      <c r="D47" s="38" t="s">
        <v>338</v>
      </c>
      <c r="E47" s="35" t="s">
        <v>339</v>
      </c>
      <c r="F47" s="35">
        <v>79119</v>
      </c>
      <c r="G47" s="28">
        <v>1</v>
      </c>
      <c r="H47" s="28" t="s">
        <v>5</v>
      </c>
      <c r="L47" s="35" t="s">
        <v>205</v>
      </c>
      <c r="M47" s="28">
        <v>97</v>
      </c>
      <c r="N47" s="28">
        <v>22</v>
      </c>
      <c r="O47" s="28">
        <v>119</v>
      </c>
      <c r="P47" s="35" t="s">
        <v>253</v>
      </c>
      <c r="Q47" s="68">
        <v>1232312</v>
      </c>
      <c r="R47" s="29" t="s">
        <v>107</v>
      </c>
      <c r="S47" s="29"/>
      <c r="T47" s="35" t="s">
        <v>149</v>
      </c>
      <c r="U47" s="35" t="s">
        <v>62</v>
      </c>
      <c r="V47" s="35">
        <v>124</v>
      </c>
      <c r="W47" s="35">
        <v>17</v>
      </c>
      <c r="X47" s="35">
        <v>4</v>
      </c>
      <c r="Y47" s="35">
        <v>0</v>
      </c>
      <c r="Z47" s="35">
        <v>4</v>
      </c>
      <c r="AB47" s="38">
        <f>SUM(V47:AA47)</f>
        <v>149</v>
      </c>
      <c r="AC47" s="85" t="s">
        <v>225</v>
      </c>
      <c r="AD47" s="85" t="s">
        <v>225</v>
      </c>
      <c r="AE47" s="85" t="s">
        <v>217</v>
      </c>
      <c r="AG47" s="35">
        <v>48381021609</v>
      </c>
      <c r="AH47" s="35" t="s">
        <v>124</v>
      </c>
      <c r="AI47" s="28">
        <v>7</v>
      </c>
      <c r="AJ47" s="28">
        <v>1.5</v>
      </c>
      <c r="AK47" s="30">
        <f>(92+89+91)/3</f>
        <v>90.66666666666667</v>
      </c>
      <c r="AL47" s="108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</row>
    <row r="48" spans="1:122" s="116" customFormat="1" ht="15" outlineLevel="1">
      <c r="A48" s="41" t="s">
        <v>101</v>
      </c>
      <c r="B48" s="109"/>
      <c r="C48" s="110">
        <v>1285436.1</v>
      </c>
      <c r="D48" s="111"/>
      <c r="E48" s="111"/>
      <c r="F48" s="111"/>
      <c r="G48" s="111"/>
      <c r="H48" s="111"/>
      <c r="I48" s="125"/>
      <c r="J48" s="111"/>
      <c r="K48" s="111"/>
      <c r="L48" s="111"/>
      <c r="M48" s="42"/>
      <c r="N48" s="42"/>
      <c r="O48" s="42"/>
      <c r="P48" s="44" t="s">
        <v>84</v>
      </c>
      <c r="Q48" s="112">
        <f>SUM(Q45:Q47)</f>
        <v>3696924</v>
      </c>
      <c r="R48" s="45"/>
      <c r="S48" s="45"/>
      <c r="T48" s="111"/>
      <c r="U48" s="111"/>
      <c r="V48" s="111"/>
      <c r="W48" s="111"/>
      <c r="X48" s="111"/>
      <c r="Y48" s="111"/>
      <c r="Z48" s="111"/>
      <c r="AA48" s="111"/>
      <c r="AB48" s="38"/>
      <c r="AC48" s="85"/>
      <c r="AD48" s="85"/>
      <c r="AE48" s="85"/>
      <c r="AF48" s="113"/>
      <c r="AG48" s="111"/>
      <c r="AH48" s="114"/>
      <c r="AI48" s="114"/>
      <c r="AJ48" s="45"/>
      <c r="AK48" s="46"/>
      <c r="AL48" s="115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</row>
    <row r="49" spans="1:122" s="35" customFormat="1" ht="12" customHeight="1">
      <c r="A49" s="48"/>
      <c r="B49" s="3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53"/>
      <c r="Q49" s="122"/>
      <c r="R49" s="123"/>
      <c r="S49" s="123"/>
      <c r="V49" s="28"/>
      <c r="AB49" s="38"/>
      <c r="AC49" s="85"/>
      <c r="AD49" s="85"/>
      <c r="AE49" s="85"/>
      <c r="AF49" s="113"/>
      <c r="AG49" s="49"/>
      <c r="AH49" s="28"/>
      <c r="AI49" s="28"/>
      <c r="AJ49" s="50"/>
      <c r="AK49" s="30"/>
      <c r="AL49" s="69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</row>
    <row r="50" spans="1:122" s="35" customFormat="1" ht="15" customHeight="1">
      <c r="A50" s="51" t="str">
        <f>CONCATENATE("Region ",G51,"/",H51)</f>
        <v>Region 2/Rural</v>
      </c>
      <c r="B50" s="3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20"/>
      <c r="R50" s="121"/>
      <c r="S50" s="121"/>
      <c r="V50" s="28"/>
      <c r="AB50" s="38"/>
      <c r="AC50" s="85"/>
      <c r="AD50" s="85"/>
      <c r="AE50" s="85"/>
      <c r="AF50" s="113"/>
      <c r="AG50" s="49"/>
      <c r="AH50" s="28"/>
      <c r="AI50" s="28"/>
      <c r="AJ50" s="50"/>
      <c r="AK50" s="30"/>
      <c r="AL50" s="69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</row>
    <row r="51" spans="1:122" s="38" customFormat="1" ht="15" customHeight="1">
      <c r="A51" s="38">
        <v>16026</v>
      </c>
      <c r="B51" s="38" t="s">
        <v>340</v>
      </c>
      <c r="C51" s="38" t="s">
        <v>341</v>
      </c>
      <c r="D51" s="38" t="s">
        <v>155</v>
      </c>
      <c r="E51" s="38" t="s">
        <v>156</v>
      </c>
      <c r="F51" s="38">
        <v>76437</v>
      </c>
      <c r="G51" s="31">
        <v>2</v>
      </c>
      <c r="H51" s="31" t="s">
        <v>1</v>
      </c>
      <c r="L51" s="38" t="s">
        <v>205</v>
      </c>
      <c r="M51" s="63">
        <v>40</v>
      </c>
      <c r="N51" s="63">
        <v>0</v>
      </c>
      <c r="O51" s="63">
        <v>40</v>
      </c>
      <c r="P51" s="38" t="s">
        <v>3</v>
      </c>
      <c r="Q51" s="64">
        <v>545000</v>
      </c>
      <c r="R51" s="126"/>
      <c r="S51" s="126"/>
      <c r="T51" s="38" t="s">
        <v>321</v>
      </c>
      <c r="U51" s="38" t="s">
        <v>322</v>
      </c>
      <c r="V51" s="38">
        <v>126</v>
      </c>
      <c r="W51" s="38">
        <v>17</v>
      </c>
      <c r="X51" s="38">
        <v>4</v>
      </c>
      <c r="Y51" s="38">
        <v>8</v>
      </c>
      <c r="Z51" s="38">
        <v>4</v>
      </c>
      <c r="AB51" s="38">
        <f>SUM(V51:AA51)</f>
        <v>159</v>
      </c>
      <c r="AC51" s="85" t="s">
        <v>217</v>
      </c>
      <c r="AD51" s="85" t="s">
        <v>217</v>
      </c>
      <c r="AE51" s="85" t="s">
        <v>237</v>
      </c>
      <c r="AF51" s="38" t="s">
        <v>627</v>
      </c>
      <c r="AG51" s="38">
        <v>48133950300</v>
      </c>
      <c r="AH51" s="38" t="s">
        <v>124</v>
      </c>
      <c r="AI51" s="31">
        <v>7</v>
      </c>
      <c r="AJ51" s="31">
        <v>15.9</v>
      </c>
      <c r="AK51" s="36">
        <f>(94+87+94)/3</f>
        <v>91.66666666666667</v>
      </c>
      <c r="AL51" s="70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</row>
    <row r="52" spans="1:122" s="38" customFormat="1" ht="15" customHeight="1">
      <c r="A52" s="38">
        <v>16237</v>
      </c>
      <c r="B52" s="38" t="s">
        <v>151</v>
      </c>
      <c r="C52" s="38" t="s">
        <v>152</v>
      </c>
      <c r="D52" s="38" t="s">
        <v>153</v>
      </c>
      <c r="E52" s="38" t="s">
        <v>17</v>
      </c>
      <c r="F52" s="38">
        <v>76336</v>
      </c>
      <c r="G52" s="31">
        <v>2</v>
      </c>
      <c r="H52" s="31" t="s">
        <v>1</v>
      </c>
      <c r="K52" s="31" t="s">
        <v>107</v>
      </c>
      <c r="L52" s="38" t="s">
        <v>205</v>
      </c>
      <c r="M52" s="31">
        <v>44</v>
      </c>
      <c r="N52" s="31">
        <v>5</v>
      </c>
      <c r="O52" s="31">
        <v>49</v>
      </c>
      <c r="P52" s="38" t="s">
        <v>3</v>
      </c>
      <c r="Q52" s="64">
        <v>454086</v>
      </c>
      <c r="R52" s="126"/>
      <c r="S52" s="126"/>
      <c r="T52" s="38" t="s">
        <v>154</v>
      </c>
      <c r="U52" s="38" t="s">
        <v>29</v>
      </c>
      <c r="V52" s="38">
        <v>123</v>
      </c>
      <c r="W52" s="38">
        <v>17</v>
      </c>
      <c r="X52" s="38">
        <v>4</v>
      </c>
      <c r="Y52" s="38">
        <v>8</v>
      </c>
      <c r="Z52" s="38">
        <v>4</v>
      </c>
      <c r="AB52" s="38">
        <f>SUM(V52:AA52)</f>
        <v>156</v>
      </c>
      <c r="AC52" s="85" t="s">
        <v>217</v>
      </c>
      <c r="AD52" s="85" t="s">
        <v>225</v>
      </c>
      <c r="AE52" s="85" t="s">
        <v>237</v>
      </c>
      <c r="AG52" s="38">
        <v>48485013800</v>
      </c>
      <c r="AH52" s="38" t="s">
        <v>124</v>
      </c>
      <c r="AI52" s="31">
        <v>7</v>
      </c>
      <c r="AJ52" s="31">
        <v>4</v>
      </c>
      <c r="AK52" s="36">
        <f>(85+79+84)/3</f>
        <v>82.66666666666667</v>
      </c>
      <c r="AL52" s="70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</row>
    <row r="53" spans="1:122" s="130" customFormat="1" ht="15" outlineLevel="1">
      <c r="A53" s="41" t="s">
        <v>101</v>
      </c>
      <c r="B53" s="109"/>
      <c r="C53" s="54">
        <v>560409.98</v>
      </c>
      <c r="D53" s="127"/>
      <c r="E53" s="127"/>
      <c r="F53" s="127"/>
      <c r="G53" s="55"/>
      <c r="H53" s="55"/>
      <c r="I53" s="128"/>
      <c r="J53" s="127"/>
      <c r="K53" s="127"/>
      <c r="L53" s="127"/>
      <c r="M53" s="55"/>
      <c r="N53" s="55"/>
      <c r="O53" s="55"/>
      <c r="P53" s="44" t="s">
        <v>84</v>
      </c>
      <c r="Q53" s="129">
        <f>SUM(Q51:Q52)</f>
        <v>999086</v>
      </c>
      <c r="T53" s="127"/>
      <c r="U53" s="127"/>
      <c r="V53" s="127"/>
      <c r="W53" s="127"/>
      <c r="X53" s="127"/>
      <c r="Y53" s="127"/>
      <c r="Z53" s="127"/>
      <c r="AA53" s="127"/>
      <c r="AB53" s="38"/>
      <c r="AC53" s="85"/>
      <c r="AD53" s="85"/>
      <c r="AE53" s="85"/>
      <c r="AF53" s="113"/>
      <c r="AG53" s="127"/>
      <c r="AH53" s="131"/>
      <c r="AI53" s="131"/>
      <c r="AJ53" s="56"/>
      <c r="AK53" s="57"/>
      <c r="AL53" s="132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</row>
    <row r="54" spans="1:122" s="38" customFormat="1" ht="12" customHeight="1">
      <c r="A54" s="48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133"/>
      <c r="R54" s="134"/>
      <c r="S54" s="134"/>
      <c r="V54" s="31"/>
      <c r="AC54" s="85"/>
      <c r="AD54" s="85"/>
      <c r="AE54" s="85"/>
      <c r="AF54" s="113"/>
      <c r="AG54" s="59"/>
      <c r="AH54" s="31"/>
      <c r="AI54" s="31"/>
      <c r="AJ54" s="60"/>
      <c r="AK54" s="36"/>
      <c r="AL54" s="39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</row>
    <row r="55" spans="1:122" s="38" customFormat="1" ht="16.5" customHeight="1">
      <c r="A55" s="51" t="str">
        <f>CONCATENATE("Region ",G56,"/",H56)</f>
        <v>Region 2/Urban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35"/>
      <c r="R55" s="136"/>
      <c r="S55" s="136"/>
      <c r="V55" s="31"/>
      <c r="AC55" s="85"/>
      <c r="AD55" s="85"/>
      <c r="AE55" s="85"/>
      <c r="AF55" s="113"/>
      <c r="AG55" s="59"/>
      <c r="AH55" s="31"/>
      <c r="AI55" s="31"/>
      <c r="AJ55" s="60"/>
      <c r="AK55" s="36"/>
      <c r="AL55" s="39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</row>
    <row r="56" spans="1:122" s="38" customFormat="1" ht="15" customHeight="1">
      <c r="A56" s="38">
        <v>16322</v>
      </c>
      <c r="B56" s="38" t="s">
        <v>342</v>
      </c>
      <c r="C56" s="38" t="s">
        <v>343</v>
      </c>
      <c r="D56" s="38" t="s">
        <v>344</v>
      </c>
      <c r="E56" s="38" t="s">
        <v>345</v>
      </c>
      <c r="F56" s="38">
        <v>79606</v>
      </c>
      <c r="G56" s="31">
        <v>2</v>
      </c>
      <c r="H56" s="31" t="s">
        <v>5</v>
      </c>
      <c r="I56" s="31"/>
      <c r="J56" s="31"/>
      <c r="K56" s="31"/>
      <c r="L56" s="38" t="s">
        <v>205</v>
      </c>
      <c r="M56" s="31">
        <v>28</v>
      </c>
      <c r="N56" s="31">
        <v>7</v>
      </c>
      <c r="O56" s="31">
        <v>35</v>
      </c>
      <c r="P56" s="38" t="s">
        <v>253</v>
      </c>
      <c r="Q56" s="64">
        <v>500000</v>
      </c>
      <c r="R56" s="32" t="s">
        <v>107</v>
      </c>
      <c r="S56" s="32"/>
      <c r="T56" s="38" t="s">
        <v>149</v>
      </c>
      <c r="U56" s="38" t="s">
        <v>62</v>
      </c>
      <c r="V56" s="38">
        <v>124</v>
      </c>
      <c r="W56" s="38">
        <v>17</v>
      </c>
      <c r="X56" s="38">
        <v>4</v>
      </c>
      <c r="Y56" s="38">
        <v>8</v>
      </c>
      <c r="Z56" s="38">
        <v>4</v>
      </c>
      <c r="AB56" s="38">
        <f>SUM(V56:AA56)</f>
        <v>157</v>
      </c>
      <c r="AC56" s="85" t="s">
        <v>217</v>
      </c>
      <c r="AD56" s="85" t="s">
        <v>217</v>
      </c>
      <c r="AE56" s="85" t="s">
        <v>217</v>
      </c>
      <c r="AF56" s="38" t="s">
        <v>627</v>
      </c>
      <c r="AG56" s="38">
        <v>48441013402</v>
      </c>
      <c r="AH56" s="38" t="s">
        <v>124</v>
      </c>
      <c r="AI56" s="31">
        <v>7</v>
      </c>
      <c r="AJ56" s="31">
        <v>10.8</v>
      </c>
      <c r="AK56" s="36">
        <f>(94+86+93)/3</f>
        <v>91</v>
      </c>
      <c r="AL56" s="39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</row>
    <row r="57" spans="1:122" s="130" customFormat="1" ht="15" outlineLevel="1">
      <c r="A57" s="41" t="s">
        <v>101</v>
      </c>
      <c r="B57" s="109"/>
      <c r="C57" s="54">
        <v>500000</v>
      </c>
      <c r="D57" s="127"/>
      <c r="E57" s="127"/>
      <c r="F57" s="127"/>
      <c r="G57" s="55"/>
      <c r="H57" s="55"/>
      <c r="I57" s="128"/>
      <c r="J57" s="127"/>
      <c r="K57" s="127"/>
      <c r="L57" s="127"/>
      <c r="M57" s="55"/>
      <c r="N57" s="55"/>
      <c r="O57" s="55"/>
      <c r="P57" s="44" t="s">
        <v>84</v>
      </c>
      <c r="Q57" s="129">
        <f>SUM(Q56:Q56)</f>
        <v>500000</v>
      </c>
      <c r="T57" s="127"/>
      <c r="U57" s="127"/>
      <c r="V57" s="127"/>
      <c r="W57" s="127"/>
      <c r="X57" s="127"/>
      <c r="Y57" s="127"/>
      <c r="Z57" s="127"/>
      <c r="AA57" s="127"/>
      <c r="AB57" s="38"/>
      <c r="AC57" s="85"/>
      <c r="AD57" s="85"/>
      <c r="AE57" s="85"/>
      <c r="AF57" s="113"/>
      <c r="AG57" s="127"/>
      <c r="AH57" s="131"/>
      <c r="AI57" s="131"/>
      <c r="AJ57" s="56"/>
      <c r="AK57" s="57"/>
      <c r="AL57" s="132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</row>
    <row r="58" spans="1:122" s="38" customFormat="1" ht="12" customHeight="1">
      <c r="A58" s="48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58"/>
      <c r="Q58" s="133"/>
      <c r="R58" s="134"/>
      <c r="S58" s="134"/>
      <c r="V58" s="31"/>
      <c r="AC58" s="85"/>
      <c r="AD58" s="85"/>
      <c r="AE58" s="85"/>
      <c r="AF58" s="113"/>
      <c r="AG58" s="59"/>
      <c r="AH58" s="31"/>
      <c r="AI58" s="31"/>
      <c r="AJ58" s="60"/>
      <c r="AK58" s="36"/>
      <c r="AL58" s="39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</row>
    <row r="59" spans="1:122" s="38" customFormat="1" ht="15" customHeight="1">
      <c r="A59" s="51" t="str">
        <f>CONCATENATE("Region ",G61,"/",H61)</f>
        <v>Region 3/Rural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35"/>
      <c r="R59" s="136"/>
      <c r="S59" s="136"/>
      <c r="V59" s="31"/>
      <c r="AC59" s="85"/>
      <c r="AD59" s="85"/>
      <c r="AE59" s="85"/>
      <c r="AF59" s="113"/>
      <c r="AG59" s="59"/>
      <c r="AH59" s="31"/>
      <c r="AI59" s="31"/>
      <c r="AJ59" s="60"/>
      <c r="AK59" s="36"/>
      <c r="AL59" s="39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</row>
    <row r="60" spans="1:122" s="38" customFormat="1" ht="15" customHeight="1">
      <c r="A60" s="38">
        <v>16071</v>
      </c>
      <c r="B60" s="38" t="s">
        <v>346</v>
      </c>
      <c r="C60" s="38" t="s">
        <v>347</v>
      </c>
      <c r="D60" s="38" t="s">
        <v>348</v>
      </c>
      <c r="E60" s="38" t="s">
        <v>252</v>
      </c>
      <c r="F60" s="38">
        <v>75114</v>
      </c>
      <c r="G60" s="31">
        <v>3</v>
      </c>
      <c r="H60" s="31" t="s">
        <v>1</v>
      </c>
      <c r="I60" s="31"/>
      <c r="J60" s="31"/>
      <c r="K60" s="31"/>
      <c r="L60" s="38" t="s">
        <v>205</v>
      </c>
      <c r="M60" s="31">
        <v>33</v>
      </c>
      <c r="N60" s="31">
        <v>15</v>
      </c>
      <c r="O60" s="31">
        <v>48</v>
      </c>
      <c r="P60" s="38" t="s">
        <v>253</v>
      </c>
      <c r="Q60" s="64">
        <v>574172</v>
      </c>
      <c r="R60" s="32"/>
      <c r="S60" s="32"/>
      <c r="T60" s="38" t="s">
        <v>56</v>
      </c>
      <c r="U60" s="38" t="s">
        <v>349</v>
      </c>
      <c r="V60" s="38">
        <v>125</v>
      </c>
      <c r="W60" s="38">
        <v>17</v>
      </c>
      <c r="X60" s="38">
        <v>4</v>
      </c>
      <c r="Y60" s="38">
        <v>8</v>
      </c>
      <c r="Z60" s="38">
        <v>4</v>
      </c>
      <c r="AB60" s="38">
        <f>SUM(V60:AA60)</f>
        <v>158</v>
      </c>
      <c r="AC60" s="85" t="s">
        <v>217</v>
      </c>
      <c r="AD60" s="85" t="s">
        <v>217</v>
      </c>
      <c r="AE60" s="85" t="s">
        <v>237</v>
      </c>
      <c r="AF60" s="38" t="s">
        <v>627</v>
      </c>
      <c r="AG60" s="38">
        <v>48257050203</v>
      </c>
      <c r="AH60" s="38" t="s">
        <v>124</v>
      </c>
      <c r="AI60" s="31">
        <v>7</v>
      </c>
      <c r="AJ60" s="31">
        <v>2.4</v>
      </c>
      <c r="AK60" s="36">
        <f>(85+85+86)/3</f>
        <v>85.33333333333333</v>
      </c>
      <c r="AL60" s="70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</row>
    <row r="61" spans="1:122" s="38" customFormat="1" ht="15.75" customHeight="1">
      <c r="A61" s="38">
        <v>16011</v>
      </c>
      <c r="B61" s="38" t="s">
        <v>350</v>
      </c>
      <c r="C61" s="38" t="s">
        <v>351</v>
      </c>
      <c r="D61" s="38" t="s">
        <v>352</v>
      </c>
      <c r="E61" s="38" t="s">
        <v>35</v>
      </c>
      <c r="F61" s="38">
        <v>76259</v>
      </c>
      <c r="G61" s="31">
        <v>3</v>
      </c>
      <c r="H61" s="31" t="s">
        <v>1</v>
      </c>
      <c r="I61" s="31"/>
      <c r="J61" s="31"/>
      <c r="K61" s="31"/>
      <c r="L61" s="38" t="s">
        <v>205</v>
      </c>
      <c r="M61" s="63">
        <v>43</v>
      </c>
      <c r="N61" s="63">
        <v>10</v>
      </c>
      <c r="O61" s="63">
        <v>53</v>
      </c>
      <c r="P61" s="38" t="s">
        <v>253</v>
      </c>
      <c r="Q61" s="64">
        <v>574867</v>
      </c>
      <c r="R61" s="32" t="s">
        <v>107</v>
      </c>
      <c r="S61" s="32"/>
      <c r="T61" s="38" t="s">
        <v>353</v>
      </c>
      <c r="U61" s="38" t="s">
        <v>354</v>
      </c>
      <c r="V61" s="38">
        <v>123</v>
      </c>
      <c r="W61" s="38">
        <v>17</v>
      </c>
      <c r="X61" s="38">
        <v>4</v>
      </c>
      <c r="Y61" s="38">
        <v>8</v>
      </c>
      <c r="Z61" s="38">
        <v>4</v>
      </c>
      <c r="AB61" s="38">
        <f>SUM(V61:AA61)</f>
        <v>156</v>
      </c>
      <c r="AC61" s="85" t="s">
        <v>217</v>
      </c>
      <c r="AD61" s="85" t="s">
        <v>225</v>
      </c>
      <c r="AE61" s="85" t="s">
        <v>217</v>
      </c>
      <c r="AG61" s="38">
        <v>48121020309</v>
      </c>
      <c r="AH61" s="38" t="s">
        <v>115</v>
      </c>
      <c r="AI61" s="31">
        <v>7</v>
      </c>
      <c r="AJ61" s="31">
        <v>7.8</v>
      </c>
      <c r="AK61" s="36">
        <f>(82+82+88)/3</f>
        <v>84</v>
      </c>
      <c r="AL61" s="70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</row>
    <row r="62" spans="1:122" s="130" customFormat="1" ht="15" outlineLevel="1">
      <c r="A62" s="41" t="s">
        <v>101</v>
      </c>
      <c r="B62" s="109"/>
      <c r="C62" s="54">
        <v>598522.83</v>
      </c>
      <c r="D62" s="127"/>
      <c r="E62" s="127"/>
      <c r="F62" s="127"/>
      <c r="G62" s="127"/>
      <c r="H62" s="127"/>
      <c r="I62" s="128"/>
      <c r="J62" s="127"/>
      <c r="K62" s="127"/>
      <c r="L62" s="127"/>
      <c r="M62" s="55"/>
      <c r="N62" s="55"/>
      <c r="O62" s="55"/>
      <c r="P62" s="44" t="s">
        <v>84</v>
      </c>
      <c r="Q62" s="129">
        <f>SUM(Q60:Q61)</f>
        <v>1149039</v>
      </c>
      <c r="T62" s="127"/>
      <c r="U62" s="127"/>
      <c r="V62" s="127"/>
      <c r="W62" s="127"/>
      <c r="X62" s="127"/>
      <c r="Y62" s="127"/>
      <c r="Z62" s="127"/>
      <c r="AA62" s="127"/>
      <c r="AB62" s="38"/>
      <c r="AC62" s="85"/>
      <c r="AD62" s="85"/>
      <c r="AE62" s="85"/>
      <c r="AF62" s="113"/>
      <c r="AG62" s="127"/>
      <c r="AH62" s="131"/>
      <c r="AI62" s="131"/>
      <c r="AJ62" s="56"/>
      <c r="AK62" s="57"/>
      <c r="AL62" s="132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</row>
    <row r="63" spans="1:122" s="38" customFormat="1" ht="12" customHeight="1">
      <c r="A63" s="48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58"/>
      <c r="Q63" s="133"/>
      <c r="R63" s="134"/>
      <c r="S63" s="134"/>
      <c r="V63" s="31"/>
      <c r="AC63" s="85"/>
      <c r="AD63" s="85"/>
      <c r="AE63" s="85"/>
      <c r="AF63" s="113"/>
      <c r="AG63" s="59"/>
      <c r="AH63" s="31"/>
      <c r="AI63" s="31"/>
      <c r="AJ63" s="60"/>
      <c r="AK63" s="36"/>
      <c r="AL63" s="39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</row>
    <row r="64" spans="1:122" s="38" customFormat="1" ht="15.75" customHeight="1">
      <c r="A64" s="51" t="str">
        <f>CONCATENATE("Region ",G65,"/",H65)</f>
        <v>Region 3/Urban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35"/>
      <c r="R64" s="136"/>
      <c r="S64" s="136"/>
      <c r="V64" s="31"/>
      <c r="AC64" s="85"/>
      <c r="AD64" s="85"/>
      <c r="AE64" s="85"/>
      <c r="AF64" s="113"/>
      <c r="AG64" s="59"/>
      <c r="AH64" s="31"/>
      <c r="AI64" s="31"/>
      <c r="AJ64" s="60"/>
      <c r="AK64" s="36"/>
      <c r="AL64" s="39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</row>
    <row r="65" spans="1:122" s="38" customFormat="1" ht="15.75" customHeight="1">
      <c r="A65" s="38">
        <v>16231</v>
      </c>
      <c r="B65" s="38" t="s">
        <v>355</v>
      </c>
      <c r="C65" s="38" t="s">
        <v>356</v>
      </c>
      <c r="D65" s="38" t="s">
        <v>357</v>
      </c>
      <c r="E65" s="38" t="s">
        <v>82</v>
      </c>
      <c r="F65" s="38">
        <v>75454</v>
      </c>
      <c r="G65" s="31">
        <v>3</v>
      </c>
      <c r="H65" s="31" t="s">
        <v>5</v>
      </c>
      <c r="I65" s="31"/>
      <c r="J65" s="31"/>
      <c r="K65" s="31"/>
      <c r="L65" s="38" t="s">
        <v>205</v>
      </c>
      <c r="M65" s="31">
        <v>79</v>
      </c>
      <c r="N65" s="31">
        <v>14</v>
      </c>
      <c r="O65" s="31">
        <v>93</v>
      </c>
      <c r="P65" s="38" t="s">
        <v>253</v>
      </c>
      <c r="Q65" s="64">
        <v>1316306</v>
      </c>
      <c r="R65" s="32"/>
      <c r="S65" s="32"/>
      <c r="T65" s="38" t="s">
        <v>164</v>
      </c>
      <c r="U65" s="38" t="s">
        <v>165</v>
      </c>
      <c r="V65" s="38">
        <v>124</v>
      </c>
      <c r="W65" s="38">
        <v>17</v>
      </c>
      <c r="X65" s="38">
        <v>4</v>
      </c>
      <c r="Y65" s="38">
        <v>8</v>
      </c>
      <c r="Z65" s="38">
        <v>4</v>
      </c>
      <c r="AB65" s="38">
        <f aca="true" t="shared" si="1" ref="AB65:AB75">SUM(V65:AA65)</f>
        <v>157</v>
      </c>
      <c r="AC65" s="85" t="s">
        <v>217</v>
      </c>
      <c r="AD65" s="85" t="s">
        <v>217</v>
      </c>
      <c r="AE65" s="85" t="s">
        <v>237</v>
      </c>
      <c r="AF65" s="38" t="s">
        <v>627</v>
      </c>
      <c r="AG65" s="38">
        <v>48085030201</v>
      </c>
      <c r="AH65" s="38" t="s">
        <v>124</v>
      </c>
      <c r="AI65" s="31">
        <v>7</v>
      </c>
      <c r="AJ65" s="31">
        <v>1.7</v>
      </c>
      <c r="AK65" s="36">
        <f>(88+92+91)/3</f>
        <v>90.33333333333333</v>
      </c>
      <c r="AL65" s="39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</row>
    <row r="66" spans="1:122" s="38" customFormat="1" ht="15.75" customHeight="1">
      <c r="A66" s="38">
        <v>16114</v>
      </c>
      <c r="B66" s="38" t="s">
        <v>358</v>
      </c>
      <c r="C66" s="38" t="s">
        <v>359</v>
      </c>
      <c r="D66" s="38" t="s">
        <v>168</v>
      </c>
      <c r="E66" s="38" t="s">
        <v>82</v>
      </c>
      <c r="F66" s="38">
        <v>75025</v>
      </c>
      <c r="G66" s="31">
        <v>3</v>
      </c>
      <c r="H66" s="31" t="s">
        <v>5</v>
      </c>
      <c r="I66" s="31"/>
      <c r="J66" s="31"/>
      <c r="K66" s="31"/>
      <c r="L66" s="38" t="s">
        <v>205</v>
      </c>
      <c r="M66" s="31">
        <v>20</v>
      </c>
      <c r="N66" s="31">
        <v>20</v>
      </c>
      <c r="O66" s="31">
        <v>40</v>
      </c>
      <c r="P66" s="38" t="s">
        <v>3</v>
      </c>
      <c r="Q66" s="64">
        <v>474312</v>
      </c>
      <c r="R66" s="32"/>
      <c r="S66" s="61" t="s">
        <v>107</v>
      </c>
      <c r="T66" s="38" t="s">
        <v>131</v>
      </c>
      <c r="U66" s="38" t="s">
        <v>360</v>
      </c>
      <c r="V66" s="38">
        <v>124</v>
      </c>
      <c r="W66" s="38">
        <v>17</v>
      </c>
      <c r="X66" s="38">
        <v>4</v>
      </c>
      <c r="Y66" s="38">
        <v>8</v>
      </c>
      <c r="Z66" s="38">
        <v>4</v>
      </c>
      <c r="AB66" s="38">
        <f t="shared" si="1"/>
        <v>157</v>
      </c>
      <c r="AC66" s="85" t="s">
        <v>217</v>
      </c>
      <c r="AD66" s="85" t="s">
        <v>217</v>
      </c>
      <c r="AE66" s="85" t="s">
        <v>237</v>
      </c>
      <c r="AF66" s="38" t="s">
        <v>627</v>
      </c>
      <c r="AG66" s="38">
        <v>48085031639</v>
      </c>
      <c r="AH66" s="38" t="s">
        <v>124</v>
      </c>
      <c r="AI66" s="31">
        <v>7</v>
      </c>
      <c r="AJ66" s="31">
        <v>2.1</v>
      </c>
      <c r="AK66" s="36">
        <f>(96+98+97)/3</f>
        <v>97</v>
      </c>
      <c r="AL66" s="39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</row>
    <row r="67" spans="1:122" s="38" customFormat="1" ht="15.75" customHeight="1">
      <c r="A67" s="38">
        <v>16373</v>
      </c>
      <c r="B67" s="38" t="s">
        <v>361</v>
      </c>
      <c r="C67" s="38" t="s">
        <v>362</v>
      </c>
      <c r="D67" s="38" t="s">
        <v>34</v>
      </c>
      <c r="E67" s="38" t="s">
        <v>48</v>
      </c>
      <c r="F67" s="38">
        <v>76052</v>
      </c>
      <c r="G67" s="31">
        <v>3</v>
      </c>
      <c r="H67" s="31" t="s">
        <v>5</v>
      </c>
      <c r="I67" s="31"/>
      <c r="J67" s="31"/>
      <c r="K67" s="31"/>
      <c r="L67" s="38" t="s">
        <v>205</v>
      </c>
      <c r="M67" s="31">
        <v>109</v>
      </c>
      <c r="N67" s="31">
        <v>12</v>
      </c>
      <c r="O67" s="31">
        <v>121</v>
      </c>
      <c r="P67" s="26" t="s">
        <v>256</v>
      </c>
      <c r="Q67" s="64">
        <v>1500000</v>
      </c>
      <c r="R67" s="32"/>
      <c r="S67" s="32"/>
      <c r="T67" s="38" t="s">
        <v>363</v>
      </c>
      <c r="U67" s="38" t="s">
        <v>364</v>
      </c>
      <c r="V67" s="38">
        <v>124</v>
      </c>
      <c r="W67" s="38">
        <v>17</v>
      </c>
      <c r="X67" s="38">
        <v>4</v>
      </c>
      <c r="Y67" s="38">
        <v>8</v>
      </c>
      <c r="Z67" s="38">
        <v>4</v>
      </c>
      <c r="AB67" s="38">
        <f t="shared" si="1"/>
        <v>157</v>
      </c>
      <c r="AC67" s="85" t="s">
        <v>217</v>
      </c>
      <c r="AD67" s="85" t="s">
        <v>217</v>
      </c>
      <c r="AE67" s="85" t="s">
        <v>237</v>
      </c>
      <c r="AF67" s="38" t="s">
        <v>627</v>
      </c>
      <c r="AG67" s="38">
        <v>48439114103</v>
      </c>
      <c r="AH67" s="38" t="s">
        <v>124</v>
      </c>
      <c r="AI67" s="31">
        <v>7</v>
      </c>
      <c r="AJ67" s="31">
        <v>3.6</v>
      </c>
      <c r="AK67" s="36">
        <f>(92+90+87)/3</f>
        <v>89.66666666666667</v>
      </c>
      <c r="AL67" s="70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</row>
    <row r="68" spans="1:122" s="38" customFormat="1" ht="15.75" customHeight="1">
      <c r="A68" s="38">
        <v>16275</v>
      </c>
      <c r="B68" s="38" t="s">
        <v>365</v>
      </c>
      <c r="C68" s="38" t="s">
        <v>366</v>
      </c>
      <c r="D68" s="38" t="s">
        <v>34</v>
      </c>
      <c r="E68" s="38" t="s">
        <v>48</v>
      </c>
      <c r="F68" s="38">
        <v>76177</v>
      </c>
      <c r="G68" s="31">
        <v>3</v>
      </c>
      <c r="H68" s="31" t="s">
        <v>5</v>
      </c>
      <c r="I68" s="31"/>
      <c r="J68" s="31"/>
      <c r="K68" s="31"/>
      <c r="L68" s="38" t="s">
        <v>205</v>
      </c>
      <c r="M68" s="31">
        <v>144</v>
      </c>
      <c r="N68" s="31">
        <v>16</v>
      </c>
      <c r="O68" s="31">
        <v>160</v>
      </c>
      <c r="P68" s="38" t="s">
        <v>256</v>
      </c>
      <c r="Q68" s="64">
        <v>1470360</v>
      </c>
      <c r="R68" s="32"/>
      <c r="S68" s="61" t="s">
        <v>107</v>
      </c>
      <c r="T68" s="38" t="s">
        <v>367</v>
      </c>
      <c r="U68" s="38" t="s">
        <v>368</v>
      </c>
      <c r="V68" s="38">
        <v>124</v>
      </c>
      <c r="W68" s="38">
        <v>17</v>
      </c>
      <c r="X68" s="38">
        <v>4</v>
      </c>
      <c r="Y68" s="38">
        <v>8</v>
      </c>
      <c r="Z68" s="38">
        <v>4</v>
      </c>
      <c r="AB68" s="38">
        <f t="shared" si="1"/>
        <v>157</v>
      </c>
      <c r="AC68" s="85" t="s">
        <v>217</v>
      </c>
      <c r="AD68" s="85" t="s">
        <v>217</v>
      </c>
      <c r="AE68" s="85" t="s">
        <v>217</v>
      </c>
      <c r="AF68" s="38" t="s">
        <v>627</v>
      </c>
      <c r="AG68" s="38">
        <v>48439113926</v>
      </c>
      <c r="AH68" s="38" t="s">
        <v>124</v>
      </c>
      <c r="AI68" s="31">
        <v>7</v>
      </c>
      <c r="AJ68" s="31">
        <v>6.5</v>
      </c>
      <c r="AK68" s="36">
        <f>(92+89+87)/3</f>
        <v>89.33333333333333</v>
      </c>
      <c r="AL68" s="70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</row>
    <row r="69" spans="1:122" s="38" customFormat="1" ht="16.5" customHeight="1">
      <c r="A69" s="38">
        <v>16226</v>
      </c>
      <c r="B69" s="38" t="s">
        <v>369</v>
      </c>
      <c r="C69" s="38" t="s">
        <v>370</v>
      </c>
      <c r="D69" s="38" t="s">
        <v>357</v>
      </c>
      <c r="E69" s="38" t="s">
        <v>82</v>
      </c>
      <c r="F69" s="38">
        <v>75454</v>
      </c>
      <c r="G69" s="31">
        <v>3</v>
      </c>
      <c r="H69" s="31" t="s">
        <v>5</v>
      </c>
      <c r="I69" s="31"/>
      <c r="J69" s="31"/>
      <c r="K69" s="31"/>
      <c r="L69" s="38" t="s">
        <v>205</v>
      </c>
      <c r="M69" s="31">
        <v>96</v>
      </c>
      <c r="N69" s="31">
        <v>24</v>
      </c>
      <c r="O69" s="31">
        <v>120</v>
      </c>
      <c r="P69" s="38" t="s">
        <v>3</v>
      </c>
      <c r="Q69" s="64">
        <v>1500000</v>
      </c>
      <c r="R69" s="32"/>
      <c r="S69" s="61" t="s">
        <v>107</v>
      </c>
      <c r="T69" s="38" t="s">
        <v>164</v>
      </c>
      <c r="U69" s="38" t="s">
        <v>165</v>
      </c>
      <c r="V69" s="38">
        <v>123</v>
      </c>
      <c r="W69" s="38">
        <v>17</v>
      </c>
      <c r="X69" s="38">
        <v>4</v>
      </c>
      <c r="Y69" s="38">
        <v>8</v>
      </c>
      <c r="Z69" s="38">
        <v>4</v>
      </c>
      <c r="AB69" s="38">
        <f t="shared" si="1"/>
        <v>156</v>
      </c>
      <c r="AC69" s="85" t="s">
        <v>217</v>
      </c>
      <c r="AD69" s="85" t="s">
        <v>217</v>
      </c>
      <c r="AE69" s="85" t="s">
        <v>237</v>
      </c>
      <c r="AF69" s="38" t="s">
        <v>627</v>
      </c>
      <c r="AG69" s="38">
        <v>48085030201</v>
      </c>
      <c r="AH69" s="38" t="s">
        <v>124</v>
      </c>
      <c r="AI69" s="31">
        <v>7</v>
      </c>
      <c r="AJ69" s="31">
        <v>1.7</v>
      </c>
      <c r="AK69" s="36">
        <f>(88+92+91)/3</f>
        <v>90.33333333333333</v>
      </c>
      <c r="AL69" s="39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</row>
    <row r="70" spans="1:122" s="35" customFormat="1" ht="15.75" customHeight="1">
      <c r="A70" s="38">
        <v>16159</v>
      </c>
      <c r="B70" s="35" t="s">
        <v>371</v>
      </c>
      <c r="C70" s="35" t="s">
        <v>372</v>
      </c>
      <c r="D70" s="35" t="s">
        <v>166</v>
      </c>
      <c r="E70" s="35" t="s">
        <v>0</v>
      </c>
      <c r="F70" s="35">
        <v>75043</v>
      </c>
      <c r="G70" s="28">
        <v>3</v>
      </c>
      <c r="H70" s="28" t="s">
        <v>5</v>
      </c>
      <c r="I70" s="28"/>
      <c r="J70" s="28"/>
      <c r="K70" s="28"/>
      <c r="L70" s="35" t="s">
        <v>205</v>
      </c>
      <c r="M70" s="28">
        <v>98</v>
      </c>
      <c r="N70" s="28">
        <v>42</v>
      </c>
      <c r="O70" s="28">
        <v>140</v>
      </c>
      <c r="P70" s="35" t="s">
        <v>3</v>
      </c>
      <c r="Q70" s="68">
        <v>1500000</v>
      </c>
      <c r="R70" s="29"/>
      <c r="S70" s="34" t="s">
        <v>107</v>
      </c>
      <c r="T70" s="35" t="s">
        <v>373</v>
      </c>
      <c r="U70" s="35" t="s">
        <v>163</v>
      </c>
      <c r="V70" s="35">
        <v>123</v>
      </c>
      <c r="W70" s="35">
        <v>17</v>
      </c>
      <c r="X70" s="35">
        <v>4</v>
      </c>
      <c r="Y70" s="35">
        <v>8</v>
      </c>
      <c r="Z70" s="35">
        <v>4</v>
      </c>
      <c r="AB70" s="38">
        <f t="shared" si="1"/>
        <v>156</v>
      </c>
      <c r="AC70" s="85" t="s">
        <v>217</v>
      </c>
      <c r="AD70" s="85" t="s">
        <v>217</v>
      </c>
      <c r="AE70" s="85" t="s">
        <v>237</v>
      </c>
      <c r="AF70" s="38" t="s">
        <v>627</v>
      </c>
      <c r="AG70" s="35">
        <v>48113017808</v>
      </c>
      <c r="AH70" s="35" t="s">
        <v>115</v>
      </c>
      <c r="AI70" s="28">
        <v>6</v>
      </c>
      <c r="AJ70" s="28">
        <v>9.2</v>
      </c>
      <c r="AK70" s="30">
        <f>(82+86+86)/3</f>
        <v>84.66666666666667</v>
      </c>
      <c r="AL70" s="108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</row>
    <row r="71" spans="1:122" s="35" customFormat="1" ht="15.75" customHeight="1">
      <c r="A71" s="38">
        <v>16178</v>
      </c>
      <c r="B71" s="35" t="s">
        <v>161</v>
      </c>
      <c r="C71" s="35" t="s">
        <v>385</v>
      </c>
      <c r="D71" s="35" t="s">
        <v>162</v>
      </c>
      <c r="E71" s="35" t="s">
        <v>82</v>
      </c>
      <c r="F71" s="35">
        <v>75409</v>
      </c>
      <c r="G71" s="28">
        <v>3</v>
      </c>
      <c r="H71" s="28" t="s">
        <v>5</v>
      </c>
      <c r="I71" s="28"/>
      <c r="J71" s="28"/>
      <c r="K71" s="28"/>
      <c r="L71" s="35" t="s">
        <v>205</v>
      </c>
      <c r="M71" s="28">
        <v>108</v>
      </c>
      <c r="N71" s="28">
        <v>72</v>
      </c>
      <c r="O71" s="28">
        <v>180</v>
      </c>
      <c r="P71" s="35" t="s">
        <v>3</v>
      </c>
      <c r="Q71" s="68">
        <v>1500000</v>
      </c>
      <c r="R71" s="29"/>
      <c r="S71" s="34" t="s">
        <v>107</v>
      </c>
      <c r="T71" s="35" t="s">
        <v>70</v>
      </c>
      <c r="U71" s="35" t="s">
        <v>163</v>
      </c>
      <c r="V71" s="35">
        <v>123</v>
      </c>
      <c r="W71" s="35">
        <v>17</v>
      </c>
      <c r="X71" s="35">
        <v>4</v>
      </c>
      <c r="Y71" s="35">
        <v>8</v>
      </c>
      <c r="Z71" s="35">
        <v>4</v>
      </c>
      <c r="AB71" s="38">
        <f>SUM(V71:AA71)</f>
        <v>156</v>
      </c>
      <c r="AC71" s="85" t="s">
        <v>217</v>
      </c>
      <c r="AD71" s="85" t="s">
        <v>217</v>
      </c>
      <c r="AE71" s="85" t="s">
        <v>237</v>
      </c>
      <c r="AF71" s="38" t="s">
        <v>627</v>
      </c>
      <c r="AG71" s="35">
        <v>48085030203</v>
      </c>
      <c r="AH71" s="35" t="s">
        <v>115</v>
      </c>
      <c r="AI71" s="28">
        <v>5</v>
      </c>
      <c r="AJ71" s="28">
        <v>9.5</v>
      </c>
      <c r="AK71" s="30">
        <f>(83+85+85)/3</f>
        <v>84.33333333333333</v>
      </c>
      <c r="AL71" s="108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</row>
    <row r="72" spans="1:122" s="38" customFormat="1" ht="16.5" customHeight="1">
      <c r="A72" s="38">
        <v>16015</v>
      </c>
      <c r="B72" s="38" t="s">
        <v>374</v>
      </c>
      <c r="C72" s="38" t="s">
        <v>375</v>
      </c>
      <c r="D72" s="38" t="s">
        <v>34</v>
      </c>
      <c r="E72" s="38" t="s">
        <v>48</v>
      </c>
      <c r="F72" s="38">
        <v>76179</v>
      </c>
      <c r="G72" s="31">
        <v>3</v>
      </c>
      <c r="H72" s="31" t="s">
        <v>5</v>
      </c>
      <c r="I72" s="31"/>
      <c r="J72" s="31"/>
      <c r="K72" s="31"/>
      <c r="L72" s="38" t="s">
        <v>205</v>
      </c>
      <c r="M72" s="63">
        <v>118</v>
      </c>
      <c r="N72" s="63">
        <v>10</v>
      </c>
      <c r="O72" s="63">
        <v>128</v>
      </c>
      <c r="P72" s="38" t="s">
        <v>3</v>
      </c>
      <c r="Q72" s="64">
        <v>1500000</v>
      </c>
      <c r="R72" s="32"/>
      <c r="S72" s="61" t="s">
        <v>107</v>
      </c>
      <c r="T72" s="38" t="s">
        <v>376</v>
      </c>
      <c r="U72" s="38" t="s">
        <v>377</v>
      </c>
      <c r="V72" s="38">
        <v>121</v>
      </c>
      <c r="W72" s="38">
        <v>17</v>
      </c>
      <c r="X72" s="38">
        <v>4</v>
      </c>
      <c r="Y72" s="38">
        <v>8</v>
      </c>
      <c r="Z72" s="38">
        <v>4</v>
      </c>
      <c r="AB72" s="38">
        <f t="shared" si="1"/>
        <v>154</v>
      </c>
      <c r="AC72" s="85" t="s">
        <v>217</v>
      </c>
      <c r="AD72" s="85" t="s">
        <v>217</v>
      </c>
      <c r="AE72" s="85" t="s">
        <v>237</v>
      </c>
      <c r="AF72" s="38" t="s">
        <v>627</v>
      </c>
      <c r="AG72" s="38">
        <v>48439114104</v>
      </c>
      <c r="AH72" s="38" t="s">
        <v>124</v>
      </c>
      <c r="AI72" s="31">
        <v>7</v>
      </c>
      <c r="AJ72" s="31">
        <v>3.9</v>
      </c>
      <c r="AK72" s="36">
        <f>(78+82+79)/3</f>
        <v>79.66666666666667</v>
      </c>
      <c r="AL72" s="70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</row>
    <row r="73" spans="1:122" s="35" customFormat="1" ht="15.75" customHeight="1">
      <c r="A73" s="38">
        <v>16098</v>
      </c>
      <c r="B73" s="35" t="s">
        <v>378</v>
      </c>
      <c r="C73" s="35" t="s">
        <v>379</v>
      </c>
      <c r="D73" s="35" t="s">
        <v>380</v>
      </c>
      <c r="E73" s="35" t="s">
        <v>72</v>
      </c>
      <c r="F73" s="35">
        <v>75020</v>
      </c>
      <c r="G73" s="28">
        <v>3</v>
      </c>
      <c r="H73" s="28" t="s">
        <v>5</v>
      </c>
      <c r="I73" s="28"/>
      <c r="J73" s="28"/>
      <c r="K73" s="28"/>
      <c r="L73" s="35" t="s">
        <v>205</v>
      </c>
      <c r="M73" s="28">
        <v>128</v>
      </c>
      <c r="N73" s="28">
        <v>16</v>
      </c>
      <c r="O73" s="28">
        <v>144</v>
      </c>
      <c r="P73" s="35" t="s">
        <v>3</v>
      </c>
      <c r="Q73" s="68">
        <v>1500000</v>
      </c>
      <c r="R73" s="29"/>
      <c r="S73" s="29"/>
      <c r="T73" s="35" t="s">
        <v>367</v>
      </c>
      <c r="U73" s="35" t="s">
        <v>368</v>
      </c>
      <c r="V73" s="35">
        <v>121</v>
      </c>
      <c r="W73" s="35">
        <v>17</v>
      </c>
      <c r="X73" s="35">
        <v>4</v>
      </c>
      <c r="Y73" s="35">
        <v>8</v>
      </c>
      <c r="Z73" s="35">
        <v>4</v>
      </c>
      <c r="AB73" s="38">
        <f t="shared" si="1"/>
        <v>154</v>
      </c>
      <c r="AC73" s="85" t="s">
        <v>217</v>
      </c>
      <c r="AD73" s="85" t="s">
        <v>217</v>
      </c>
      <c r="AE73" s="85" t="s">
        <v>217</v>
      </c>
      <c r="AF73" s="38" t="s">
        <v>627</v>
      </c>
      <c r="AG73" s="35">
        <v>48181000302</v>
      </c>
      <c r="AH73" s="35" t="s">
        <v>124</v>
      </c>
      <c r="AI73" s="28">
        <v>7</v>
      </c>
      <c r="AJ73" s="28">
        <v>10.2</v>
      </c>
      <c r="AK73" s="30">
        <f>(82+73+81)/3</f>
        <v>78.66666666666667</v>
      </c>
      <c r="AL73" s="108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</row>
    <row r="74" spans="1:122" s="35" customFormat="1" ht="15.75" customHeight="1">
      <c r="A74" s="38">
        <v>16317</v>
      </c>
      <c r="B74" s="35" t="s">
        <v>381</v>
      </c>
      <c r="C74" s="35" t="s">
        <v>382</v>
      </c>
      <c r="D74" s="35" t="s">
        <v>159</v>
      </c>
      <c r="E74" s="35" t="s">
        <v>0</v>
      </c>
      <c r="F74" s="35">
        <v>75088</v>
      </c>
      <c r="G74" s="28">
        <v>3</v>
      </c>
      <c r="H74" s="28" t="s">
        <v>5</v>
      </c>
      <c r="I74" s="28"/>
      <c r="J74" s="28"/>
      <c r="K74" s="28"/>
      <c r="L74" s="35" t="s">
        <v>205</v>
      </c>
      <c r="M74" s="28">
        <v>112</v>
      </c>
      <c r="N74" s="28">
        <v>47</v>
      </c>
      <c r="O74" s="28">
        <v>159</v>
      </c>
      <c r="P74" s="35" t="s">
        <v>3</v>
      </c>
      <c r="Q74" s="68">
        <v>1500000</v>
      </c>
      <c r="R74" s="29"/>
      <c r="S74" s="29"/>
      <c r="T74" s="35" t="s">
        <v>363</v>
      </c>
      <c r="U74" s="35" t="s">
        <v>364</v>
      </c>
      <c r="V74" s="35">
        <v>119</v>
      </c>
      <c r="W74" s="35">
        <v>17</v>
      </c>
      <c r="X74" s="35">
        <v>4</v>
      </c>
      <c r="Y74" s="35">
        <v>8</v>
      </c>
      <c r="Z74" s="35">
        <v>4</v>
      </c>
      <c r="AB74" s="38">
        <f t="shared" si="1"/>
        <v>152</v>
      </c>
      <c r="AC74" s="85" t="s">
        <v>217</v>
      </c>
      <c r="AD74" s="85" t="s">
        <v>225</v>
      </c>
      <c r="AE74" s="85" t="s">
        <v>237</v>
      </c>
      <c r="AG74" s="35">
        <v>48113018133</v>
      </c>
      <c r="AH74" s="35" t="s">
        <v>115</v>
      </c>
      <c r="AI74" s="28">
        <v>0</v>
      </c>
      <c r="AJ74" s="28">
        <v>3.6</v>
      </c>
      <c r="AK74" s="30">
        <f>(69+72+80)/3</f>
        <v>73.66666666666667</v>
      </c>
      <c r="AL74" s="108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</row>
    <row r="75" spans="1:122" s="38" customFormat="1" ht="15.75" customHeight="1">
      <c r="A75" s="38">
        <v>16260</v>
      </c>
      <c r="B75" s="38" t="s">
        <v>383</v>
      </c>
      <c r="C75" s="38" t="s">
        <v>384</v>
      </c>
      <c r="D75" s="38" t="s">
        <v>34</v>
      </c>
      <c r="E75" s="38" t="s">
        <v>48</v>
      </c>
      <c r="F75" s="38">
        <v>76177</v>
      </c>
      <c r="G75" s="31">
        <v>3</v>
      </c>
      <c r="H75" s="31" t="s">
        <v>5</v>
      </c>
      <c r="I75" s="31"/>
      <c r="J75" s="31"/>
      <c r="K75" s="31"/>
      <c r="L75" s="38" t="s">
        <v>205</v>
      </c>
      <c r="M75" s="31">
        <v>111</v>
      </c>
      <c r="N75" s="31">
        <v>7</v>
      </c>
      <c r="O75" s="31">
        <v>118</v>
      </c>
      <c r="P75" s="38" t="s">
        <v>3</v>
      </c>
      <c r="Q75" s="64">
        <v>1500000</v>
      </c>
      <c r="R75" s="32" t="s">
        <v>107</v>
      </c>
      <c r="S75" s="61" t="s">
        <v>107</v>
      </c>
      <c r="T75" s="38" t="s">
        <v>160</v>
      </c>
      <c r="U75" s="38" t="s">
        <v>33</v>
      </c>
      <c r="V75" s="38">
        <v>123</v>
      </c>
      <c r="W75" s="38">
        <v>17</v>
      </c>
      <c r="X75" s="38">
        <v>4</v>
      </c>
      <c r="Y75" s="38">
        <v>8</v>
      </c>
      <c r="Z75" s="38">
        <v>4</v>
      </c>
      <c r="AA75" s="38">
        <v>-5</v>
      </c>
      <c r="AB75" s="38">
        <f t="shared" si="1"/>
        <v>151</v>
      </c>
      <c r="AC75" s="85" t="s">
        <v>225</v>
      </c>
      <c r="AD75" s="85" t="s">
        <v>225</v>
      </c>
      <c r="AE75" s="85" t="s">
        <v>225</v>
      </c>
      <c r="AG75" s="38">
        <v>48439113922</v>
      </c>
      <c r="AH75" s="38" t="s">
        <v>124</v>
      </c>
      <c r="AI75" s="31">
        <v>7</v>
      </c>
      <c r="AJ75" s="31">
        <v>6.6</v>
      </c>
      <c r="AK75" s="36">
        <f>(82+89+91)/3</f>
        <v>87.33333333333333</v>
      </c>
      <c r="AL75" s="70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</row>
    <row r="76" spans="1:122" s="116" customFormat="1" ht="15" outlineLevel="1">
      <c r="A76" s="41" t="s">
        <v>101</v>
      </c>
      <c r="B76" s="109"/>
      <c r="C76" s="54">
        <v>12345011.25</v>
      </c>
      <c r="D76" s="125" t="s">
        <v>386</v>
      </c>
      <c r="E76" s="111"/>
      <c r="F76" s="111"/>
      <c r="G76" s="111"/>
      <c r="H76" s="111"/>
      <c r="I76" s="125"/>
      <c r="J76" s="111"/>
      <c r="K76" s="111"/>
      <c r="L76" s="111"/>
      <c r="M76" s="42"/>
      <c r="N76" s="42"/>
      <c r="O76" s="42"/>
      <c r="P76" s="44" t="s">
        <v>84</v>
      </c>
      <c r="Q76" s="112">
        <f>SUM(Q65:Q75)</f>
        <v>15260978</v>
      </c>
      <c r="T76" s="111"/>
      <c r="U76" s="111"/>
      <c r="V76" s="111"/>
      <c r="W76" s="111"/>
      <c r="X76" s="111"/>
      <c r="Y76" s="111"/>
      <c r="Z76" s="111"/>
      <c r="AA76" s="111"/>
      <c r="AB76" s="38"/>
      <c r="AC76" s="85"/>
      <c r="AD76" s="85"/>
      <c r="AE76" s="85"/>
      <c r="AF76" s="113"/>
      <c r="AG76" s="111"/>
      <c r="AH76" s="114"/>
      <c r="AI76" s="114"/>
      <c r="AJ76" s="45"/>
      <c r="AK76" s="4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</row>
    <row r="77" spans="1:122" s="35" customFormat="1" ht="12" customHeight="1">
      <c r="A77" s="48"/>
      <c r="B77" s="3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62"/>
      <c r="Q77" s="122"/>
      <c r="R77" s="123"/>
      <c r="S77" s="123"/>
      <c r="V77" s="28"/>
      <c r="AB77" s="38"/>
      <c r="AC77" s="85"/>
      <c r="AD77" s="85"/>
      <c r="AE77" s="85"/>
      <c r="AF77" s="113"/>
      <c r="AG77" s="49"/>
      <c r="AH77" s="28"/>
      <c r="AI77" s="28"/>
      <c r="AJ77" s="50"/>
      <c r="AK77" s="30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</row>
    <row r="78" spans="1:122" s="35" customFormat="1" ht="15" customHeight="1">
      <c r="A78" s="51" t="str">
        <f>CONCATENATE("Region ",G80,"/",H80)</f>
        <v>Region 4/Rural</v>
      </c>
      <c r="B78" s="3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20"/>
      <c r="R78" s="121"/>
      <c r="S78" s="121"/>
      <c r="V78" s="28"/>
      <c r="AB78" s="38"/>
      <c r="AC78" s="85"/>
      <c r="AD78" s="85"/>
      <c r="AE78" s="85"/>
      <c r="AF78" s="113"/>
      <c r="AG78" s="49"/>
      <c r="AH78" s="28"/>
      <c r="AI78" s="28"/>
      <c r="AJ78" s="50"/>
      <c r="AK78" s="30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</row>
    <row r="79" spans="1:122" s="38" customFormat="1" ht="15">
      <c r="A79" s="38">
        <v>16018</v>
      </c>
      <c r="B79" s="38" t="s">
        <v>387</v>
      </c>
      <c r="C79" s="38" t="s">
        <v>388</v>
      </c>
      <c r="D79" s="38" t="s">
        <v>66</v>
      </c>
      <c r="E79" s="38" t="s">
        <v>67</v>
      </c>
      <c r="F79" s="38">
        <v>75791</v>
      </c>
      <c r="G79" s="31">
        <v>4</v>
      </c>
      <c r="H79" s="31" t="s">
        <v>1</v>
      </c>
      <c r="I79" s="31"/>
      <c r="J79" s="31"/>
      <c r="K79" s="31"/>
      <c r="L79" s="38" t="s">
        <v>205</v>
      </c>
      <c r="M79" s="63">
        <v>48</v>
      </c>
      <c r="N79" s="63">
        <v>12</v>
      </c>
      <c r="O79" s="63">
        <v>60</v>
      </c>
      <c r="P79" s="38" t="s">
        <v>3</v>
      </c>
      <c r="Q79" s="64">
        <v>860000</v>
      </c>
      <c r="R79" s="32"/>
      <c r="S79" s="32"/>
      <c r="T79" s="38" t="s">
        <v>78</v>
      </c>
      <c r="U79" s="38" t="s">
        <v>389</v>
      </c>
      <c r="V79" s="38">
        <v>125</v>
      </c>
      <c r="W79" s="38">
        <v>17</v>
      </c>
      <c r="X79" s="38">
        <v>4</v>
      </c>
      <c r="Y79" s="38">
        <v>8</v>
      </c>
      <c r="Z79" s="38">
        <v>4</v>
      </c>
      <c r="AB79" s="38">
        <f aca="true" t="shared" si="2" ref="AB79:AB85">SUM(V79:AA79)</f>
        <v>158</v>
      </c>
      <c r="AC79" s="85" t="s">
        <v>217</v>
      </c>
      <c r="AD79" s="85" t="s">
        <v>217</v>
      </c>
      <c r="AE79" s="85" t="s">
        <v>237</v>
      </c>
      <c r="AF79" s="38" t="s">
        <v>627</v>
      </c>
      <c r="AG79" s="38">
        <v>48423002200</v>
      </c>
      <c r="AH79" s="38" t="s">
        <v>124</v>
      </c>
      <c r="AI79" s="31">
        <v>7</v>
      </c>
      <c r="AJ79" s="31">
        <v>3.9</v>
      </c>
      <c r="AK79" s="36">
        <f>(86+88+84)/3</f>
        <v>86</v>
      </c>
      <c r="AL79" s="66" t="s">
        <v>620</v>
      </c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</row>
    <row r="80" spans="1:122" s="35" customFormat="1" ht="15">
      <c r="A80" s="38">
        <v>16170</v>
      </c>
      <c r="B80" s="35" t="s">
        <v>390</v>
      </c>
      <c r="C80" s="35" t="s">
        <v>391</v>
      </c>
      <c r="D80" s="35" t="s">
        <v>66</v>
      </c>
      <c r="E80" s="35" t="s">
        <v>67</v>
      </c>
      <c r="F80" s="35">
        <v>75791</v>
      </c>
      <c r="G80" s="28">
        <v>4</v>
      </c>
      <c r="H80" s="28" t="s">
        <v>1</v>
      </c>
      <c r="I80" s="28"/>
      <c r="J80" s="28"/>
      <c r="K80" s="28"/>
      <c r="L80" s="35" t="s">
        <v>205</v>
      </c>
      <c r="M80" s="28">
        <v>56</v>
      </c>
      <c r="N80" s="28">
        <v>16</v>
      </c>
      <c r="O80" s="28">
        <v>72</v>
      </c>
      <c r="P80" s="35" t="s">
        <v>253</v>
      </c>
      <c r="Q80" s="68">
        <v>750000</v>
      </c>
      <c r="R80" s="29"/>
      <c r="S80" s="29"/>
      <c r="T80" s="35" t="s">
        <v>50</v>
      </c>
      <c r="U80" s="35" t="s">
        <v>392</v>
      </c>
      <c r="V80" s="35">
        <v>125</v>
      </c>
      <c r="W80" s="35">
        <v>17</v>
      </c>
      <c r="X80" s="35">
        <v>4</v>
      </c>
      <c r="Y80" s="35">
        <v>8</v>
      </c>
      <c r="Z80" s="35">
        <v>4</v>
      </c>
      <c r="AB80" s="38">
        <f t="shared" si="2"/>
        <v>158</v>
      </c>
      <c r="AC80" s="85" t="s">
        <v>217</v>
      </c>
      <c r="AD80" s="85" t="s">
        <v>217</v>
      </c>
      <c r="AE80" s="85" t="s">
        <v>237</v>
      </c>
      <c r="AF80" s="38" t="s">
        <v>627</v>
      </c>
      <c r="AG80" s="35">
        <v>48423002200</v>
      </c>
      <c r="AH80" s="35" t="s">
        <v>124</v>
      </c>
      <c r="AI80" s="28">
        <v>7</v>
      </c>
      <c r="AJ80" s="28">
        <v>3.9</v>
      </c>
      <c r="AK80" s="36">
        <f>(86+88+84)/3</f>
        <v>86</v>
      </c>
      <c r="AL80" s="66" t="s">
        <v>621</v>
      </c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</row>
    <row r="81" spans="1:122" s="38" customFormat="1" ht="15">
      <c r="A81" s="38">
        <v>16184</v>
      </c>
      <c r="B81" s="38" t="s">
        <v>172</v>
      </c>
      <c r="C81" s="38" t="s">
        <v>173</v>
      </c>
      <c r="D81" s="38" t="s">
        <v>66</v>
      </c>
      <c r="E81" s="38" t="s">
        <v>67</v>
      </c>
      <c r="F81" s="38">
        <v>75791</v>
      </c>
      <c r="G81" s="31">
        <v>4</v>
      </c>
      <c r="H81" s="31" t="s">
        <v>1</v>
      </c>
      <c r="I81" s="31"/>
      <c r="J81" s="31"/>
      <c r="K81" s="31"/>
      <c r="L81" s="38" t="s">
        <v>205</v>
      </c>
      <c r="M81" s="31">
        <v>66</v>
      </c>
      <c r="N81" s="31">
        <v>6</v>
      </c>
      <c r="O81" s="31">
        <v>72</v>
      </c>
      <c r="P81" s="38" t="s">
        <v>3</v>
      </c>
      <c r="Q81" s="64">
        <v>903201</v>
      </c>
      <c r="R81" s="32" t="s">
        <v>107</v>
      </c>
      <c r="S81" s="32"/>
      <c r="T81" s="38" t="s">
        <v>18</v>
      </c>
      <c r="U81" s="38" t="s">
        <v>19</v>
      </c>
      <c r="V81" s="38">
        <v>125</v>
      </c>
      <c r="W81" s="38">
        <v>17</v>
      </c>
      <c r="X81" s="38">
        <v>4</v>
      </c>
      <c r="Y81" s="38">
        <v>8</v>
      </c>
      <c r="Z81" s="38">
        <v>4</v>
      </c>
      <c r="AB81" s="38">
        <f t="shared" si="2"/>
        <v>158</v>
      </c>
      <c r="AC81" s="85" t="s">
        <v>225</v>
      </c>
      <c r="AD81" s="85" t="s">
        <v>225</v>
      </c>
      <c r="AE81" s="85" t="s">
        <v>225</v>
      </c>
      <c r="AG81" s="38">
        <v>48423002200</v>
      </c>
      <c r="AH81" s="38" t="s">
        <v>124</v>
      </c>
      <c r="AI81" s="31">
        <v>7</v>
      </c>
      <c r="AJ81" s="31">
        <v>3.9</v>
      </c>
      <c r="AK81" s="36">
        <f>(86+88+84)/3</f>
        <v>86</v>
      </c>
      <c r="AL81" s="66" t="s">
        <v>622</v>
      </c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</row>
    <row r="82" spans="1:122" s="38" customFormat="1" ht="15">
      <c r="A82" s="38">
        <v>16165</v>
      </c>
      <c r="B82" s="38" t="s">
        <v>393</v>
      </c>
      <c r="C82" s="38" t="s">
        <v>394</v>
      </c>
      <c r="D82" s="38" t="s">
        <v>395</v>
      </c>
      <c r="E82" s="38" t="s">
        <v>396</v>
      </c>
      <c r="F82" s="38">
        <v>75462</v>
      </c>
      <c r="G82" s="31">
        <v>4</v>
      </c>
      <c r="H82" s="31" t="s">
        <v>1</v>
      </c>
      <c r="I82" s="31"/>
      <c r="J82" s="31"/>
      <c r="K82" s="31"/>
      <c r="L82" s="38" t="s">
        <v>205</v>
      </c>
      <c r="M82" s="31">
        <v>60</v>
      </c>
      <c r="N82" s="31">
        <v>20</v>
      </c>
      <c r="O82" s="31">
        <v>80</v>
      </c>
      <c r="P82" s="38" t="s">
        <v>3</v>
      </c>
      <c r="Q82" s="64">
        <v>917500</v>
      </c>
      <c r="R82" s="32"/>
      <c r="S82" s="32"/>
      <c r="T82" s="38" t="s">
        <v>397</v>
      </c>
      <c r="U82" s="38" t="s">
        <v>207</v>
      </c>
      <c r="V82" s="38">
        <v>125</v>
      </c>
      <c r="W82" s="38">
        <v>17</v>
      </c>
      <c r="X82" s="38">
        <v>4</v>
      </c>
      <c r="Y82" s="38">
        <v>8</v>
      </c>
      <c r="Z82" s="38">
        <v>4</v>
      </c>
      <c r="AB82" s="38">
        <f t="shared" si="2"/>
        <v>158</v>
      </c>
      <c r="AC82" s="85" t="s">
        <v>225</v>
      </c>
      <c r="AD82" s="85" t="s">
        <v>225</v>
      </c>
      <c r="AE82" s="85" t="s">
        <v>217</v>
      </c>
      <c r="AG82" s="38">
        <v>48277000402</v>
      </c>
      <c r="AH82" s="38" t="s">
        <v>124</v>
      </c>
      <c r="AI82" s="31">
        <v>7</v>
      </c>
      <c r="AJ82" s="31">
        <v>4.4</v>
      </c>
      <c r="AK82" s="36">
        <f>(84+80+83)/3</f>
        <v>82.33333333333333</v>
      </c>
      <c r="AL82" s="39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</row>
    <row r="83" spans="1:122" s="38" customFormat="1" ht="15">
      <c r="A83" s="38">
        <v>16167</v>
      </c>
      <c r="B83" s="38" t="s">
        <v>398</v>
      </c>
      <c r="C83" s="38" t="s">
        <v>399</v>
      </c>
      <c r="D83" s="38" t="s">
        <v>400</v>
      </c>
      <c r="E83" s="38" t="s">
        <v>396</v>
      </c>
      <c r="F83" s="38">
        <v>75462</v>
      </c>
      <c r="G83" s="31">
        <v>4</v>
      </c>
      <c r="H83" s="31" t="s">
        <v>1</v>
      </c>
      <c r="I83" s="31"/>
      <c r="J83" s="31"/>
      <c r="K83" s="31"/>
      <c r="L83" s="38" t="s">
        <v>205</v>
      </c>
      <c r="M83" s="31">
        <v>60</v>
      </c>
      <c r="N83" s="31">
        <v>20</v>
      </c>
      <c r="O83" s="31">
        <v>80</v>
      </c>
      <c r="P83" s="38" t="s">
        <v>253</v>
      </c>
      <c r="Q83" s="64">
        <v>880000</v>
      </c>
      <c r="R83" s="32"/>
      <c r="S83" s="32"/>
      <c r="T83" s="38" t="s">
        <v>397</v>
      </c>
      <c r="U83" s="38" t="s">
        <v>207</v>
      </c>
      <c r="V83" s="38">
        <v>125</v>
      </c>
      <c r="W83" s="38">
        <v>17</v>
      </c>
      <c r="X83" s="38">
        <v>4</v>
      </c>
      <c r="Y83" s="38">
        <v>8</v>
      </c>
      <c r="Z83" s="38">
        <v>4</v>
      </c>
      <c r="AB83" s="38">
        <f t="shared" si="2"/>
        <v>158</v>
      </c>
      <c r="AC83" s="85" t="s">
        <v>225</v>
      </c>
      <c r="AD83" s="85" t="s">
        <v>225</v>
      </c>
      <c r="AE83" s="85" t="s">
        <v>217</v>
      </c>
      <c r="AG83" s="38">
        <v>48277000402</v>
      </c>
      <c r="AH83" s="38" t="s">
        <v>124</v>
      </c>
      <c r="AI83" s="31">
        <v>7</v>
      </c>
      <c r="AJ83" s="31">
        <v>4.4</v>
      </c>
      <c r="AK83" s="36">
        <f>(84+80+83)/3</f>
        <v>82.33333333333333</v>
      </c>
      <c r="AL83" s="39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</row>
    <row r="84" spans="1:122" s="38" customFormat="1" ht="15">
      <c r="A84" s="38">
        <v>16024</v>
      </c>
      <c r="B84" s="38" t="s">
        <v>401</v>
      </c>
      <c r="C84" s="38" t="s">
        <v>402</v>
      </c>
      <c r="D84" s="38" t="s">
        <v>403</v>
      </c>
      <c r="E84" s="38" t="s">
        <v>67</v>
      </c>
      <c r="F84" s="38">
        <v>75771</v>
      </c>
      <c r="G84" s="31">
        <v>4</v>
      </c>
      <c r="H84" s="31" t="s">
        <v>1</v>
      </c>
      <c r="I84" s="31"/>
      <c r="J84" s="31"/>
      <c r="K84" s="31"/>
      <c r="L84" s="38" t="s">
        <v>205</v>
      </c>
      <c r="M84" s="63">
        <v>48</v>
      </c>
      <c r="N84" s="63">
        <v>0</v>
      </c>
      <c r="O84" s="63">
        <v>48</v>
      </c>
      <c r="P84" s="38" t="s">
        <v>253</v>
      </c>
      <c r="Q84" s="64">
        <v>724695</v>
      </c>
      <c r="R84" s="32"/>
      <c r="S84" s="32"/>
      <c r="T84" s="38" t="s">
        <v>179</v>
      </c>
      <c r="U84" s="38" t="s">
        <v>404</v>
      </c>
      <c r="V84" s="38">
        <v>125</v>
      </c>
      <c r="W84" s="38">
        <v>17</v>
      </c>
      <c r="X84" s="38">
        <v>4</v>
      </c>
      <c r="Y84" s="38">
        <v>8</v>
      </c>
      <c r="Z84" s="38">
        <v>4</v>
      </c>
      <c r="AB84" s="38">
        <f t="shared" si="2"/>
        <v>158</v>
      </c>
      <c r="AC84" s="85" t="s">
        <v>225</v>
      </c>
      <c r="AD84" s="85" t="s">
        <v>225</v>
      </c>
      <c r="AE84" s="85" t="s">
        <v>217</v>
      </c>
      <c r="AG84" s="38">
        <v>48423001403</v>
      </c>
      <c r="AH84" s="38" t="s">
        <v>115</v>
      </c>
      <c r="AI84" s="31">
        <v>7</v>
      </c>
      <c r="AJ84" s="31">
        <v>13.4</v>
      </c>
      <c r="AK84" s="36">
        <f>(79+91+94)/3</f>
        <v>88</v>
      </c>
      <c r="AL84" s="39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</row>
    <row r="85" spans="1:122" s="38" customFormat="1" ht="15">
      <c r="A85" s="38">
        <v>16020</v>
      </c>
      <c r="B85" s="38" t="s">
        <v>169</v>
      </c>
      <c r="C85" s="38" t="s">
        <v>405</v>
      </c>
      <c r="D85" s="38" t="s">
        <v>117</v>
      </c>
      <c r="E85" s="38" t="s">
        <v>170</v>
      </c>
      <c r="F85" s="38">
        <v>75654</v>
      </c>
      <c r="G85" s="31">
        <v>4</v>
      </c>
      <c r="H85" s="31" t="s">
        <v>1</v>
      </c>
      <c r="I85" s="31"/>
      <c r="J85" s="31"/>
      <c r="K85" s="31"/>
      <c r="L85" s="38" t="s">
        <v>205</v>
      </c>
      <c r="M85" s="63">
        <v>80</v>
      </c>
      <c r="N85" s="63">
        <v>0</v>
      </c>
      <c r="O85" s="63">
        <v>80</v>
      </c>
      <c r="P85" s="38" t="s">
        <v>253</v>
      </c>
      <c r="Q85" s="64">
        <v>872166</v>
      </c>
      <c r="R85" s="32"/>
      <c r="S85" s="32"/>
      <c r="T85" s="38" t="s">
        <v>406</v>
      </c>
      <c r="U85" s="38" t="s">
        <v>407</v>
      </c>
      <c r="V85" s="38">
        <v>125</v>
      </c>
      <c r="W85" s="38">
        <v>17</v>
      </c>
      <c r="X85" s="38">
        <v>4</v>
      </c>
      <c r="Y85" s="38">
        <v>8</v>
      </c>
      <c r="Z85" s="38">
        <v>4</v>
      </c>
      <c r="AB85" s="38">
        <f t="shared" si="2"/>
        <v>158</v>
      </c>
      <c r="AC85" s="85" t="s">
        <v>225</v>
      </c>
      <c r="AD85" s="85" t="s">
        <v>225</v>
      </c>
      <c r="AE85" s="85" t="s">
        <v>225</v>
      </c>
      <c r="AG85" s="38">
        <v>48401950800</v>
      </c>
      <c r="AH85" s="38" t="s">
        <v>112</v>
      </c>
      <c r="AI85" s="31">
        <v>7</v>
      </c>
      <c r="AJ85" s="31">
        <v>16.9</v>
      </c>
      <c r="AK85" s="36">
        <f>(83+78+77)/3</f>
        <v>79.33333333333333</v>
      </c>
      <c r="AL85" s="39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</row>
    <row r="86" spans="1:122" s="38" customFormat="1" ht="15">
      <c r="A86" s="38">
        <v>16168</v>
      </c>
      <c r="B86" s="38" t="s">
        <v>408</v>
      </c>
      <c r="C86" s="38" t="s">
        <v>409</v>
      </c>
      <c r="D86" s="38" t="s">
        <v>66</v>
      </c>
      <c r="E86" s="38" t="s">
        <v>67</v>
      </c>
      <c r="F86" s="38">
        <v>75791</v>
      </c>
      <c r="G86" s="31">
        <v>4</v>
      </c>
      <c r="H86" s="31" t="s">
        <v>1</v>
      </c>
      <c r="I86" s="31"/>
      <c r="J86" s="31"/>
      <c r="K86" s="31"/>
      <c r="L86" s="38" t="s">
        <v>205</v>
      </c>
      <c r="M86" s="31">
        <v>59</v>
      </c>
      <c r="N86" s="31">
        <v>21</v>
      </c>
      <c r="O86" s="31">
        <v>80</v>
      </c>
      <c r="P86" s="38" t="s">
        <v>3</v>
      </c>
      <c r="Q86" s="64">
        <v>910000</v>
      </c>
      <c r="R86" s="32"/>
      <c r="S86" s="32"/>
      <c r="T86" s="38" t="s">
        <v>397</v>
      </c>
      <c r="U86" s="38" t="s">
        <v>207</v>
      </c>
      <c r="V86" s="38">
        <v>124</v>
      </c>
      <c r="W86" s="38">
        <v>17</v>
      </c>
      <c r="X86" s="38">
        <v>4</v>
      </c>
      <c r="Y86" s="38">
        <v>8</v>
      </c>
      <c r="Z86" s="38">
        <v>4</v>
      </c>
      <c r="AB86" s="38">
        <f>SUM(V86:AA86)</f>
        <v>157</v>
      </c>
      <c r="AC86" s="85" t="s">
        <v>225</v>
      </c>
      <c r="AD86" s="85" t="s">
        <v>225</v>
      </c>
      <c r="AE86" s="85" t="s">
        <v>217</v>
      </c>
      <c r="AG86" s="38">
        <v>48423002200</v>
      </c>
      <c r="AH86" s="38" t="s">
        <v>124</v>
      </c>
      <c r="AI86" s="31">
        <v>7</v>
      </c>
      <c r="AJ86" s="31">
        <v>3.9</v>
      </c>
      <c r="AK86" s="36">
        <f>(86+88+84)/3</f>
        <v>86</v>
      </c>
      <c r="AL86" s="108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</row>
    <row r="87" spans="1:122" s="130" customFormat="1" ht="15" outlineLevel="1">
      <c r="A87" s="41" t="s">
        <v>101</v>
      </c>
      <c r="B87" s="109"/>
      <c r="C87" s="54">
        <v>1525329.33</v>
      </c>
      <c r="D87" s="127"/>
      <c r="E87" s="127"/>
      <c r="F87" s="127"/>
      <c r="G87" s="127"/>
      <c r="H87" s="127"/>
      <c r="I87" s="128"/>
      <c r="J87" s="127"/>
      <c r="K87" s="127"/>
      <c r="L87" s="127"/>
      <c r="M87" s="55"/>
      <c r="N87" s="55"/>
      <c r="O87" s="55"/>
      <c r="P87" s="44" t="s">
        <v>84</v>
      </c>
      <c r="Q87" s="129">
        <f>SUM(Q79:Q86)</f>
        <v>6817562</v>
      </c>
      <c r="T87" s="127"/>
      <c r="U87" s="127"/>
      <c r="V87" s="127"/>
      <c r="W87" s="127"/>
      <c r="X87" s="127"/>
      <c r="Y87" s="127"/>
      <c r="Z87" s="127"/>
      <c r="AA87" s="127"/>
      <c r="AB87" s="38"/>
      <c r="AC87" s="85"/>
      <c r="AD87" s="85"/>
      <c r="AE87" s="85"/>
      <c r="AF87" s="113"/>
      <c r="AG87" s="127"/>
      <c r="AH87" s="131"/>
      <c r="AI87" s="131"/>
      <c r="AJ87" s="56"/>
      <c r="AK87" s="57"/>
      <c r="AL87" s="132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</row>
    <row r="88" spans="1:122" s="38" customFormat="1" ht="12" customHeight="1">
      <c r="A88" s="48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8"/>
      <c r="Q88" s="133"/>
      <c r="R88" s="134"/>
      <c r="S88" s="134"/>
      <c r="V88" s="31"/>
      <c r="AC88" s="85"/>
      <c r="AD88" s="85"/>
      <c r="AE88" s="85"/>
      <c r="AF88" s="113"/>
      <c r="AH88" s="31"/>
      <c r="AI88" s="31"/>
      <c r="AJ88" s="60"/>
      <c r="AK88" s="36"/>
      <c r="AL88" s="39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</row>
    <row r="89" spans="1:122" s="38" customFormat="1" ht="15" customHeight="1">
      <c r="A89" s="51" t="str">
        <f>CONCATENATE("Region ",G91,"/",H91)</f>
        <v>Region 4/Urban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35"/>
      <c r="R89" s="136"/>
      <c r="S89" s="136"/>
      <c r="V89" s="31"/>
      <c r="AC89" s="85"/>
      <c r="AD89" s="85"/>
      <c r="AE89" s="85"/>
      <c r="AF89" s="113"/>
      <c r="AH89" s="31"/>
      <c r="AI89" s="31"/>
      <c r="AJ89" s="60"/>
      <c r="AK89" s="36"/>
      <c r="AL89" s="39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</row>
    <row r="90" spans="1:122" s="38" customFormat="1" ht="15" customHeight="1">
      <c r="A90" s="38">
        <v>16160</v>
      </c>
      <c r="B90" s="38" t="s">
        <v>410</v>
      </c>
      <c r="C90" s="38" t="s">
        <v>411</v>
      </c>
      <c r="D90" s="38" t="s">
        <v>412</v>
      </c>
      <c r="E90" s="38" t="s">
        <v>65</v>
      </c>
      <c r="F90" s="38">
        <v>75569</v>
      </c>
      <c r="G90" s="31">
        <v>4</v>
      </c>
      <c r="H90" s="31" t="s">
        <v>5</v>
      </c>
      <c r="I90" s="31"/>
      <c r="J90" s="31"/>
      <c r="K90" s="31"/>
      <c r="L90" s="38" t="s">
        <v>205</v>
      </c>
      <c r="M90" s="31">
        <v>78</v>
      </c>
      <c r="N90" s="31">
        <v>22</v>
      </c>
      <c r="O90" s="31">
        <v>100</v>
      </c>
      <c r="P90" s="38" t="s">
        <v>253</v>
      </c>
      <c r="Q90" s="64">
        <v>1012000</v>
      </c>
      <c r="R90" s="32"/>
      <c r="S90" s="32"/>
      <c r="T90" s="38" t="s">
        <v>50</v>
      </c>
      <c r="U90" s="38" t="s">
        <v>392</v>
      </c>
      <c r="V90" s="38">
        <v>125</v>
      </c>
      <c r="W90" s="38">
        <v>17</v>
      </c>
      <c r="X90" s="38">
        <v>4</v>
      </c>
      <c r="Y90" s="38">
        <v>8</v>
      </c>
      <c r="Z90" s="38">
        <v>4</v>
      </c>
      <c r="AB90" s="38">
        <f>SUM(V90:AA90)</f>
        <v>158</v>
      </c>
      <c r="AC90" s="85" t="s">
        <v>217</v>
      </c>
      <c r="AD90" s="85" t="s">
        <v>217</v>
      </c>
      <c r="AE90" s="85" t="s">
        <v>237</v>
      </c>
      <c r="AF90" s="38" t="s">
        <v>627</v>
      </c>
      <c r="AG90" s="38">
        <v>48037010902</v>
      </c>
      <c r="AH90" s="38" t="s">
        <v>124</v>
      </c>
      <c r="AI90" s="31">
        <v>7</v>
      </c>
      <c r="AJ90" s="31">
        <v>14</v>
      </c>
      <c r="AK90" s="36">
        <f>(84+77+79)/3</f>
        <v>80</v>
      </c>
      <c r="AL90" s="39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</row>
    <row r="91" spans="1:122" s="38" customFormat="1" ht="15" customHeight="1">
      <c r="A91" s="38">
        <v>16214</v>
      </c>
      <c r="B91" s="38" t="s">
        <v>413</v>
      </c>
      <c r="C91" s="38" t="s">
        <v>414</v>
      </c>
      <c r="D91" s="38" t="s">
        <v>136</v>
      </c>
      <c r="E91" s="38" t="s">
        <v>65</v>
      </c>
      <c r="F91" s="38">
        <v>75501</v>
      </c>
      <c r="G91" s="31">
        <v>4</v>
      </c>
      <c r="H91" s="31" t="s">
        <v>5</v>
      </c>
      <c r="I91" s="31"/>
      <c r="J91" s="31"/>
      <c r="K91" s="31"/>
      <c r="L91" s="38" t="s">
        <v>205</v>
      </c>
      <c r="M91" s="31">
        <v>106</v>
      </c>
      <c r="N91" s="31">
        <v>0</v>
      </c>
      <c r="O91" s="31">
        <v>106</v>
      </c>
      <c r="P91" s="38" t="s">
        <v>253</v>
      </c>
      <c r="Q91" s="64">
        <v>1056152</v>
      </c>
      <c r="R91" s="32"/>
      <c r="S91" s="32"/>
      <c r="T91" s="38" t="s">
        <v>53</v>
      </c>
      <c r="U91" s="38" t="s">
        <v>81</v>
      </c>
      <c r="V91" s="38">
        <v>124</v>
      </c>
      <c r="W91" s="38">
        <v>17</v>
      </c>
      <c r="X91" s="38">
        <v>4</v>
      </c>
      <c r="Y91" s="38">
        <v>8</v>
      </c>
      <c r="Z91" s="38">
        <v>4</v>
      </c>
      <c r="AB91" s="38">
        <f>SUM(V91:AA91)</f>
        <v>157</v>
      </c>
      <c r="AC91" s="85" t="s">
        <v>217</v>
      </c>
      <c r="AD91" s="85" t="s">
        <v>225</v>
      </c>
      <c r="AE91" s="85" t="s">
        <v>237</v>
      </c>
      <c r="AG91" s="38">
        <v>48037010902</v>
      </c>
      <c r="AH91" s="38" t="s">
        <v>124</v>
      </c>
      <c r="AI91" s="31">
        <v>7</v>
      </c>
      <c r="AJ91" s="31">
        <v>14</v>
      </c>
      <c r="AK91" s="36">
        <f>(84+77+79)/3</f>
        <v>80</v>
      </c>
      <c r="AL91" s="39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</row>
    <row r="92" spans="1:122" s="130" customFormat="1" ht="15" outlineLevel="1">
      <c r="A92" s="41" t="s">
        <v>101</v>
      </c>
      <c r="B92" s="109"/>
      <c r="C92" s="54">
        <v>1101380.4</v>
      </c>
      <c r="D92" s="127"/>
      <c r="E92" s="127"/>
      <c r="F92" s="127"/>
      <c r="G92" s="55"/>
      <c r="H92" s="55"/>
      <c r="I92" s="65"/>
      <c r="J92" s="55"/>
      <c r="K92" s="55"/>
      <c r="L92" s="127"/>
      <c r="M92" s="55"/>
      <c r="N92" s="55"/>
      <c r="O92" s="55"/>
      <c r="P92" s="44" t="s">
        <v>84</v>
      </c>
      <c r="Q92" s="129">
        <f>SUM(Q90:Q91)</f>
        <v>2068152</v>
      </c>
      <c r="T92" s="127"/>
      <c r="U92" s="127"/>
      <c r="V92" s="127"/>
      <c r="W92" s="127"/>
      <c r="X92" s="127"/>
      <c r="Y92" s="127"/>
      <c r="Z92" s="127"/>
      <c r="AA92" s="127"/>
      <c r="AB92" s="38"/>
      <c r="AC92" s="85"/>
      <c r="AD92" s="85"/>
      <c r="AE92" s="85"/>
      <c r="AF92" s="113"/>
      <c r="AG92" s="127"/>
      <c r="AH92" s="131"/>
      <c r="AI92" s="131"/>
      <c r="AJ92" s="56"/>
      <c r="AK92" s="57"/>
      <c r="AL92" s="132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</row>
    <row r="93" spans="1:122" s="38" customFormat="1" ht="12" customHeight="1">
      <c r="A93" s="4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58"/>
      <c r="Q93" s="133"/>
      <c r="R93" s="134"/>
      <c r="S93" s="134"/>
      <c r="V93" s="31"/>
      <c r="AC93" s="85"/>
      <c r="AD93" s="85"/>
      <c r="AE93" s="85"/>
      <c r="AF93" s="113"/>
      <c r="AG93" s="59"/>
      <c r="AH93" s="31"/>
      <c r="AI93" s="31"/>
      <c r="AJ93" s="60"/>
      <c r="AK93" s="36"/>
      <c r="AL93" s="39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</row>
    <row r="94" spans="1:122" s="38" customFormat="1" ht="15" customHeight="1">
      <c r="A94" s="51" t="str">
        <f>CONCATENATE("Region ",G95,"/",H95)</f>
        <v>Region 5/Rural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35"/>
      <c r="R94" s="136"/>
      <c r="S94" s="136"/>
      <c r="V94" s="31"/>
      <c r="AC94" s="85"/>
      <c r="AD94" s="85"/>
      <c r="AE94" s="85"/>
      <c r="AF94" s="113"/>
      <c r="AG94" s="59"/>
      <c r="AH94" s="31"/>
      <c r="AI94" s="31"/>
      <c r="AJ94" s="60"/>
      <c r="AK94" s="36"/>
      <c r="AL94" s="39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</row>
    <row r="95" spans="1:122" s="38" customFormat="1" ht="15" customHeight="1">
      <c r="A95" s="38">
        <v>16363</v>
      </c>
      <c r="B95" s="38" t="s">
        <v>415</v>
      </c>
      <c r="C95" s="38" t="s">
        <v>416</v>
      </c>
      <c r="D95" s="38" t="s">
        <v>417</v>
      </c>
      <c r="E95" s="38" t="s">
        <v>418</v>
      </c>
      <c r="F95" s="38">
        <v>77656</v>
      </c>
      <c r="G95" s="31">
        <v>5</v>
      </c>
      <c r="H95" s="31" t="s">
        <v>1</v>
      </c>
      <c r="I95" s="31"/>
      <c r="J95" s="31"/>
      <c r="K95" s="31"/>
      <c r="L95" s="38" t="s">
        <v>205</v>
      </c>
      <c r="M95" s="31">
        <v>72</v>
      </c>
      <c r="N95" s="31">
        <v>8</v>
      </c>
      <c r="O95" s="31">
        <v>80</v>
      </c>
      <c r="P95" s="38" t="s">
        <v>253</v>
      </c>
      <c r="Q95" s="64">
        <v>887000</v>
      </c>
      <c r="R95" s="32"/>
      <c r="S95" s="32"/>
      <c r="T95" s="38" t="s">
        <v>69</v>
      </c>
      <c r="U95" s="38" t="s">
        <v>174</v>
      </c>
      <c r="V95" s="38">
        <v>125</v>
      </c>
      <c r="W95" s="38">
        <v>17</v>
      </c>
      <c r="X95" s="38">
        <v>4</v>
      </c>
      <c r="Y95" s="38">
        <v>8</v>
      </c>
      <c r="Z95" s="38">
        <v>4</v>
      </c>
      <c r="AB95" s="38">
        <f>SUM(V95:AA95)</f>
        <v>158</v>
      </c>
      <c r="AC95" s="85" t="s">
        <v>217</v>
      </c>
      <c r="AD95" s="85" t="s">
        <v>217</v>
      </c>
      <c r="AE95" s="85" t="s">
        <v>237</v>
      </c>
      <c r="AF95" s="38" t="s">
        <v>627</v>
      </c>
      <c r="AG95" s="38">
        <v>48199030800</v>
      </c>
      <c r="AH95" s="38" t="s">
        <v>115</v>
      </c>
      <c r="AI95" s="31">
        <v>7</v>
      </c>
      <c r="AJ95" s="31">
        <v>10.3</v>
      </c>
      <c r="AK95" s="36">
        <f>(93+81+83)/3</f>
        <v>85.66666666666667</v>
      </c>
      <c r="AL95" s="39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</row>
    <row r="96" spans="1:122" s="38" customFormat="1" ht="15" customHeight="1">
      <c r="A96" s="38">
        <v>16110</v>
      </c>
      <c r="B96" s="38" t="s">
        <v>419</v>
      </c>
      <c r="C96" s="38" t="s">
        <v>420</v>
      </c>
      <c r="D96" s="38" t="s">
        <v>421</v>
      </c>
      <c r="E96" s="38" t="s">
        <v>422</v>
      </c>
      <c r="F96" s="38">
        <v>77625</v>
      </c>
      <c r="G96" s="31">
        <v>5</v>
      </c>
      <c r="H96" s="31" t="s">
        <v>1</v>
      </c>
      <c r="I96" s="31"/>
      <c r="J96" s="31"/>
      <c r="K96" s="31" t="s">
        <v>107</v>
      </c>
      <c r="L96" s="38" t="s">
        <v>205</v>
      </c>
      <c r="M96" s="31">
        <v>72</v>
      </c>
      <c r="N96" s="31">
        <v>8</v>
      </c>
      <c r="O96" s="31">
        <v>80</v>
      </c>
      <c r="P96" s="38" t="s">
        <v>3</v>
      </c>
      <c r="Q96" s="64">
        <v>1008450</v>
      </c>
      <c r="R96" s="32"/>
      <c r="S96" s="32"/>
      <c r="T96" s="38" t="s">
        <v>36</v>
      </c>
      <c r="U96" s="38" t="s">
        <v>9</v>
      </c>
      <c r="V96" s="38">
        <v>120</v>
      </c>
      <c r="W96" s="38">
        <v>17</v>
      </c>
      <c r="X96" s="38">
        <v>4</v>
      </c>
      <c r="Y96" s="38">
        <v>8</v>
      </c>
      <c r="Z96" s="38">
        <v>4</v>
      </c>
      <c r="AB96" s="38">
        <f>SUM(V96:AA96)</f>
        <v>153</v>
      </c>
      <c r="AC96" s="85" t="s">
        <v>217</v>
      </c>
      <c r="AD96" s="85" t="s">
        <v>225</v>
      </c>
      <c r="AE96" s="85" t="s">
        <v>217</v>
      </c>
      <c r="AG96" s="38">
        <v>48199030400</v>
      </c>
      <c r="AH96" s="38" t="s">
        <v>112</v>
      </c>
      <c r="AI96" s="31">
        <v>7</v>
      </c>
      <c r="AJ96" s="31">
        <v>21.8</v>
      </c>
      <c r="AK96" s="36">
        <f>(79+67+73)/3</f>
        <v>73</v>
      </c>
      <c r="AL96" s="39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</row>
    <row r="97" spans="1:122" s="130" customFormat="1" ht="15" outlineLevel="1">
      <c r="A97" s="41" t="s">
        <v>101</v>
      </c>
      <c r="B97" s="109"/>
      <c r="C97" s="54">
        <v>926222</v>
      </c>
      <c r="D97" s="127"/>
      <c r="E97" s="127"/>
      <c r="F97" s="127"/>
      <c r="G97" s="127"/>
      <c r="H97" s="127"/>
      <c r="I97" s="128"/>
      <c r="J97" s="127"/>
      <c r="K97" s="127"/>
      <c r="L97" s="127"/>
      <c r="M97" s="55"/>
      <c r="N97" s="55"/>
      <c r="O97" s="55"/>
      <c r="P97" s="44" t="s">
        <v>84</v>
      </c>
      <c r="Q97" s="129">
        <f>SUM(Q95:Q96)</f>
        <v>1895450</v>
      </c>
      <c r="T97" s="127"/>
      <c r="U97" s="127"/>
      <c r="V97" s="127"/>
      <c r="W97" s="127"/>
      <c r="X97" s="127"/>
      <c r="Y97" s="127"/>
      <c r="Z97" s="127"/>
      <c r="AA97" s="127"/>
      <c r="AB97" s="38"/>
      <c r="AC97" s="85"/>
      <c r="AD97" s="85"/>
      <c r="AE97" s="85"/>
      <c r="AF97" s="113"/>
      <c r="AG97" s="127"/>
      <c r="AH97" s="131"/>
      <c r="AI97" s="131"/>
      <c r="AJ97" s="56"/>
      <c r="AK97" s="57"/>
      <c r="AL97" s="132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</row>
    <row r="98" spans="1:122" s="38" customFormat="1" ht="12" customHeight="1">
      <c r="A98" s="4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58"/>
      <c r="Q98" s="133"/>
      <c r="R98" s="134"/>
      <c r="S98" s="134"/>
      <c r="V98" s="31"/>
      <c r="AC98" s="85"/>
      <c r="AD98" s="85"/>
      <c r="AE98" s="85"/>
      <c r="AF98" s="113"/>
      <c r="AG98" s="59"/>
      <c r="AH98" s="31"/>
      <c r="AI98" s="31"/>
      <c r="AJ98" s="60"/>
      <c r="AK98" s="36"/>
      <c r="AL98" s="39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</row>
    <row r="99" spans="1:122" s="38" customFormat="1" ht="12" customHeight="1">
      <c r="A99" s="51" t="str">
        <f>CONCATENATE("Region ",G100,"/",H100)</f>
        <v>Region 5/Urban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35"/>
      <c r="R99" s="136"/>
      <c r="S99" s="136"/>
      <c r="V99" s="31"/>
      <c r="AC99" s="85"/>
      <c r="AD99" s="85"/>
      <c r="AE99" s="85"/>
      <c r="AF99" s="113"/>
      <c r="AG99" s="59"/>
      <c r="AH99" s="31"/>
      <c r="AI99" s="31"/>
      <c r="AJ99" s="60"/>
      <c r="AK99" s="36"/>
      <c r="AL99" s="39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</row>
    <row r="100" spans="1:122" s="38" customFormat="1" ht="15">
      <c r="A100" s="38">
        <v>16172</v>
      </c>
      <c r="B100" s="38" t="s">
        <v>423</v>
      </c>
      <c r="C100" s="38" t="s">
        <v>424</v>
      </c>
      <c r="D100" s="38" t="s">
        <v>425</v>
      </c>
      <c r="E100" s="38" t="s">
        <v>418</v>
      </c>
      <c r="F100" s="38">
        <v>77657</v>
      </c>
      <c r="G100" s="31">
        <v>5</v>
      </c>
      <c r="H100" s="31" t="s">
        <v>5</v>
      </c>
      <c r="I100" s="31"/>
      <c r="J100" s="31"/>
      <c r="K100" s="31"/>
      <c r="L100" s="38" t="s">
        <v>205</v>
      </c>
      <c r="M100" s="31">
        <v>55</v>
      </c>
      <c r="N100" s="31">
        <v>21</v>
      </c>
      <c r="O100" s="31">
        <v>76</v>
      </c>
      <c r="P100" s="38" t="s">
        <v>253</v>
      </c>
      <c r="Q100" s="64">
        <v>735000</v>
      </c>
      <c r="R100" s="32"/>
      <c r="S100" s="32"/>
      <c r="T100" s="38" t="s">
        <v>50</v>
      </c>
      <c r="U100" s="38" t="s">
        <v>392</v>
      </c>
      <c r="V100" s="38">
        <v>121</v>
      </c>
      <c r="W100" s="38">
        <v>17</v>
      </c>
      <c r="X100" s="38">
        <v>4</v>
      </c>
      <c r="Y100" s="38">
        <v>8</v>
      </c>
      <c r="Z100" s="38">
        <v>4</v>
      </c>
      <c r="AB100" s="38">
        <f>SUM(V100:AA100)</f>
        <v>154</v>
      </c>
      <c r="AC100" s="85" t="s">
        <v>217</v>
      </c>
      <c r="AD100" s="85" t="s">
        <v>217</v>
      </c>
      <c r="AE100" s="85" t="s">
        <v>237</v>
      </c>
      <c r="AF100" s="38" t="s">
        <v>627</v>
      </c>
      <c r="AG100" s="38">
        <v>48199030600</v>
      </c>
      <c r="AH100" s="38" t="s">
        <v>115</v>
      </c>
      <c r="AI100" s="31">
        <v>6</v>
      </c>
      <c r="AJ100" s="31">
        <v>6</v>
      </c>
      <c r="AK100" s="36">
        <f>(78+82+89)/3</f>
        <v>83</v>
      </c>
      <c r="AL100" s="39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</row>
    <row r="101" spans="1:122" s="130" customFormat="1" ht="15" outlineLevel="1">
      <c r="A101" s="41" t="s">
        <v>101</v>
      </c>
      <c r="B101" s="109"/>
      <c r="C101" s="54">
        <v>765845.18</v>
      </c>
      <c r="D101" s="127"/>
      <c r="E101" s="127"/>
      <c r="F101" s="127"/>
      <c r="G101" s="127"/>
      <c r="H101" s="127"/>
      <c r="I101" s="128"/>
      <c r="J101" s="127"/>
      <c r="K101" s="127"/>
      <c r="L101" s="127"/>
      <c r="M101" s="55"/>
      <c r="N101" s="55"/>
      <c r="O101" s="55"/>
      <c r="P101" s="44" t="s">
        <v>84</v>
      </c>
      <c r="Q101" s="129">
        <f>SUM(Q100:Q100)</f>
        <v>735000</v>
      </c>
      <c r="T101" s="127"/>
      <c r="U101" s="127"/>
      <c r="V101" s="127"/>
      <c r="W101" s="127"/>
      <c r="X101" s="127"/>
      <c r="Y101" s="127"/>
      <c r="Z101" s="127"/>
      <c r="AA101" s="127"/>
      <c r="AB101" s="38"/>
      <c r="AC101" s="85"/>
      <c r="AD101" s="85"/>
      <c r="AE101" s="85"/>
      <c r="AF101" s="113"/>
      <c r="AG101" s="127"/>
      <c r="AH101" s="131"/>
      <c r="AI101" s="131"/>
      <c r="AJ101" s="56"/>
      <c r="AK101" s="57"/>
      <c r="AL101" s="132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</row>
    <row r="102" spans="1:122" s="38" customFormat="1" ht="12" customHeight="1">
      <c r="A102" s="48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58"/>
      <c r="Q102" s="133"/>
      <c r="R102" s="134"/>
      <c r="S102" s="134"/>
      <c r="V102" s="31"/>
      <c r="AC102" s="85"/>
      <c r="AD102" s="85"/>
      <c r="AE102" s="85"/>
      <c r="AF102" s="113"/>
      <c r="AG102" s="59"/>
      <c r="AH102" s="31"/>
      <c r="AI102" s="31"/>
      <c r="AJ102" s="60"/>
      <c r="AK102" s="36"/>
      <c r="AL102" s="39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</row>
    <row r="103" spans="1:122" s="35" customFormat="1" ht="15" customHeight="1">
      <c r="A103" s="51" t="str">
        <f>CONCATENATE("Region ",G104,"/",H104)</f>
        <v>Region 6/Rural</v>
      </c>
      <c r="B103" s="3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20"/>
      <c r="R103" s="121"/>
      <c r="S103" s="121"/>
      <c r="V103" s="28"/>
      <c r="AB103" s="38"/>
      <c r="AC103" s="85"/>
      <c r="AD103" s="85"/>
      <c r="AE103" s="85"/>
      <c r="AF103" s="113"/>
      <c r="AG103" s="49"/>
      <c r="AH103" s="28"/>
      <c r="AI103" s="28"/>
      <c r="AJ103" s="50"/>
      <c r="AK103" s="30"/>
      <c r="AL103" s="69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</row>
    <row r="104" spans="1:122" s="35" customFormat="1" ht="15" customHeight="1">
      <c r="A104" s="38">
        <v>16236</v>
      </c>
      <c r="B104" s="35" t="s">
        <v>426</v>
      </c>
      <c r="C104" s="35" t="s">
        <v>427</v>
      </c>
      <c r="D104" s="35" t="s">
        <v>32</v>
      </c>
      <c r="E104" s="35" t="s">
        <v>13</v>
      </c>
      <c r="F104" s="35">
        <v>77484</v>
      </c>
      <c r="G104" s="28">
        <v>6</v>
      </c>
      <c r="H104" s="28" t="s">
        <v>1</v>
      </c>
      <c r="I104" s="28"/>
      <c r="J104" s="28"/>
      <c r="K104" s="28"/>
      <c r="L104" s="35" t="s">
        <v>205</v>
      </c>
      <c r="M104" s="28">
        <v>64</v>
      </c>
      <c r="N104" s="28">
        <v>16</v>
      </c>
      <c r="O104" s="28">
        <v>80</v>
      </c>
      <c r="P104" s="35" t="s">
        <v>253</v>
      </c>
      <c r="Q104" s="68">
        <v>750000</v>
      </c>
      <c r="R104" s="29"/>
      <c r="S104" s="29"/>
      <c r="T104" s="35" t="s">
        <v>30</v>
      </c>
      <c r="U104" s="35" t="s">
        <v>31</v>
      </c>
      <c r="V104" s="35">
        <v>124</v>
      </c>
      <c r="W104" s="35">
        <v>17</v>
      </c>
      <c r="X104" s="35">
        <v>4</v>
      </c>
      <c r="Y104" s="35">
        <v>8</v>
      </c>
      <c r="Z104" s="35">
        <v>4</v>
      </c>
      <c r="AB104" s="38">
        <f>SUM(V104:AA104)</f>
        <v>157</v>
      </c>
      <c r="AC104" s="85" t="s">
        <v>217</v>
      </c>
      <c r="AD104" s="85" t="s">
        <v>217</v>
      </c>
      <c r="AE104" s="85" t="s">
        <v>237</v>
      </c>
      <c r="AF104" s="38" t="s">
        <v>627</v>
      </c>
      <c r="AG104" s="35">
        <v>48201556000</v>
      </c>
      <c r="AH104" s="35" t="s">
        <v>115</v>
      </c>
      <c r="AI104" s="28">
        <v>7</v>
      </c>
      <c r="AJ104" s="28">
        <v>13</v>
      </c>
      <c r="AK104" s="30">
        <f>(79+77+80)/3</f>
        <v>78.66666666666667</v>
      </c>
      <c r="AL104" s="108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</row>
    <row r="105" spans="1:122" s="35" customFormat="1" ht="15" customHeight="1">
      <c r="A105" s="38">
        <v>16242</v>
      </c>
      <c r="B105" s="35" t="s">
        <v>428</v>
      </c>
      <c r="C105" s="35" t="s">
        <v>429</v>
      </c>
      <c r="D105" s="35" t="s">
        <v>430</v>
      </c>
      <c r="E105" s="35" t="s">
        <v>71</v>
      </c>
      <c r="F105" s="35">
        <v>77486</v>
      </c>
      <c r="G105" s="28">
        <v>6</v>
      </c>
      <c r="H105" s="28" t="s">
        <v>1</v>
      </c>
      <c r="I105" s="28"/>
      <c r="J105" s="28"/>
      <c r="K105" s="28"/>
      <c r="L105" s="35" t="s">
        <v>229</v>
      </c>
      <c r="M105" s="28">
        <v>50</v>
      </c>
      <c r="N105" s="28">
        <v>0</v>
      </c>
      <c r="O105" s="28">
        <v>50</v>
      </c>
      <c r="P105" s="35" t="s">
        <v>253</v>
      </c>
      <c r="Q105" s="68">
        <v>357880</v>
      </c>
      <c r="R105" s="29"/>
      <c r="S105" s="29"/>
      <c r="T105" s="35" t="s">
        <v>129</v>
      </c>
      <c r="U105" s="35" t="s">
        <v>431</v>
      </c>
      <c r="V105" s="35">
        <v>123</v>
      </c>
      <c r="W105" s="35">
        <v>17</v>
      </c>
      <c r="X105" s="35">
        <v>4</v>
      </c>
      <c r="Y105" s="35">
        <v>8</v>
      </c>
      <c r="Z105" s="35">
        <v>4</v>
      </c>
      <c r="AB105" s="38">
        <f>SUM(V105:AA105)</f>
        <v>156</v>
      </c>
      <c r="AC105" s="85" t="s">
        <v>217</v>
      </c>
      <c r="AD105" s="85" t="s">
        <v>225</v>
      </c>
      <c r="AE105" s="85" t="s">
        <v>225</v>
      </c>
      <c r="AG105" s="35">
        <v>48039662000</v>
      </c>
      <c r="AH105" s="35" t="s">
        <v>115</v>
      </c>
      <c r="AI105" s="28">
        <v>7</v>
      </c>
      <c r="AJ105" s="28">
        <v>19.2</v>
      </c>
      <c r="AK105" s="30">
        <f>(74+77+78)/3</f>
        <v>76.33333333333333</v>
      </c>
      <c r="AL105" s="70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</row>
    <row r="106" spans="1:122" s="35" customFormat="1" ht="15" customHeight="1">
      <c r="A106" s="38">
        <v>16109</v>
      </c>
      <c r="B106" s="35" t="s">
        <v>432</v>
      </c>
      <c r="C106" s="35" t="s">
        <v>433</v>
      </c>
      <c r="D106" s="35" t="s">
        <v>434</v>
      </c>
      <c r="E106" s="35" t="s">
        <v>435</v>
      </c>
      <c r="F106" s="35">
        <v>77358</v>
      </c>
      <c r="G106" s="28">
        <v>6</v>
      </c>
      <c r="H106" s="28" t="s">
        <v>1</v>
      </c>
      <c r="I106" s="28"/>
      <c r="J106" s="28"/>
      <c r="K106" s="28" t="s">
        <v>107</v>
      </c>
      <c r="L106" s="66" t="s">
        <v>228</v>
      </c>
      <c r="M106" s="28">
        <v>50</v>
      </c>
      <c r="N106" s="28">
        <v>0</v>
      </c>
      <c r="O106" s="28">
        <v>50</v>
      </c>
      <c r="P106" s="35" t="s">
        <v>3</v>
      </c>
      <c r="Q106" s="68">
        <v>750000</v>
      </c>
      <c r="R106" s="29"/>
      <c r="S106" s="29"/>
      <c r="T106" s="35" t="s">
        <v>36</v>
      </c>
      <c r="U106" s="35" t="s">
        <v>9</v>
      </c>
      <c r="V106" s="35">
        <v>122</v>
      </c>
      <c r="W106" s="35">
        <v>17</v>
      </c>
      <c r="X106" s="35">
        <v>4</v>
      </c>
      <c r="Y106" s="35">
        <v>8</v>
      </c>
      <c r="Z106" s="35">
        <v>4</v>
      </c>
      <c r="AB106" s="38">
        <f>SUM(V106:AA106)</f>
        <v>155</v>
      </c>
      <c r="AC106" s="85" t="s">
        <v>217</v>
      </c>
      <c r="AD106" s="85" t="s">
        <v>225</v>
      </c>
      <c r="AE106" s="85" t="s">
        <v>217</v>
      </c>
      <c r="AG106" s="35">
        <v>48471790200</v>
      </c>
      <c r="AH106" s="35" t="s">
        <v>115</v>
      </c>
      <c r="AI106" s="28">
        <v>7</v>
      </c>
      <c r="AJ106" s="28">
        <v>16.7</v>
      </c>
      <c r="AK106" s="30">
        <f>(84+71+86)/3</f>
        <v>80.33333333333333</v>
      </c>
      <c r="AL106" s="108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</row>
    <row r="107" spans="1:122" s="116" customFormat="1" ht="15" outlineLevel="1">
      <c r="A107" s="41" t="s">
        <v>101</v>
      </c>
      <c r="B107" s="109"/>
      <c r="C107" s="54">
        <v>500000</v>
      </c>
      <c r="D107" s="111"/>
      <c r="E107" s="111"/>
      <c r="F107" s="111"/>
      <c r="G107" s="111"/>
      <c r="H107" s="111"/>
      <c r="I107" s="125"/>
      <c r="J107" s="111"/>
      <c r="K107" s="111"/>
      <c r="L107" s="111"/>
      <c r="M107" s="42"/>
      <c r="N107" s="42"/>
      <c r="O107" s="42"/>
      <c r="P107" s="44" t="s">
        <v>84</v>
      </c>
      <c r="Q107" s="112">
        <f>SUM(Q104:Q106)</f>
        <v>1857880</v>
      </c>
      <c r="T107" s="111"/>
      <c r="U107" s="111"/>
      <c r="V107" s="111"/>
      <c r="W107" s="111"/>
      <c r="X107" s="111"/>
      <c r="Y107" s="111"/>
      <c r="Z107" s="111"/>
      <c r="AA107" s="111"/>
      <c r="AB107" s="38"/>
      <c r="AC107" s="85"/>
      <c r="AD107" s="85"/>
      <c r="AE107" s="85"/>
      <c r="AF107" s="113"/>
      <c r="AG107" s="111"/>
      <c r="AH107" s="114"/>
      <c r="AI107" s="114"/>
      <c r="AJ107" s="45"/>
      <c r="AK107" s="46"/>
      <c r="AL107" s="115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</row>
    <row r="108" spans="1:122" s="35" customFormat="1" ht="12" customHeight="1">
      <c r="A108" s="48"/>
      <c r="B108" s="3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62"/>
      <c r="Q108" s="122"/>
      <c r="R108" s="123"/>
      <c r="S108" s="123"/>
      <c r="V108" s="28"/>
      <c r="AB108" s="38"/>
      <c r="AC108" s="85"/>
      <c r="AD108" s="85"/>
      <c r="AE108" s="85"/>
      <c r="AF108" s="113"/>
      <c r="AG108" s="49"/>
      <c r="AH108" s="28"/>
      <c r="AI108" s="28"/>
      <c r="AJ108" s="50"/>
      <c r="AK108" s="30"/>
      <c r="AL108" s="69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</row>
    <row r="109" spans="1:122" s="35" customFormat="1" ht="15" customHeight="1">
      <c r="A109" s="51" t="str">
        <f>CONCATENATE("Region ",G112,"/",H112)</f>
        <v>Region 6/Urban</v>
      </c>
      <c r="B109" s="3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120"/>
      <c r="R109" s="121"/>
      <c r="S109" s="121"/>
      <c r="V109" s="28"/>
      <c r="AB109" s="38"/>
      <c r="AC109" s="85"/>
      <c r="AD109" s="85"/>
      <c r="AE109" s="85"/>
      <c r="AF109" s="113"/>
      <c r="AG109" s="49"/>
      <c r="AH109" s="28"/>
      <c r="AI109" s="28"/>
      <c r="AJ109" s="50"/>
      <c r="AK109" s="30"/>
      <c r="AL109" s="69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</row>
    <row r="110" spans="1:122" s="35" customFormat="1" ht="15" customHeight="1">
      <c r="A110" s="38">
        <v>16223</v>
      </c>
      <c r="B110" s="35" t="s">
        <v>436</v>
      </c>
      <c r="C110" s="35" t="s">
        <v>437</v>
      </c>
      <c r="D110" s="35" t="s">
        <v>438</v>
      </c>
      <c r="E110" s="35" t="s">
        <v>16</v>
      </c>
      <c r="F110" s="35">
        <v>77406</v>
      </c>
      <c r="G110" s="28">
        <v>6</v>
      </c>
      <c r="H110" s="28" t="s">
        <v>5</v>
      </c>
      <c r="I110" s="28"/>
      <c r="J110" s="28"/>
      <c r="K110" s="28" t="s">
        <v>107</v>
      </c>
      <c r="L110" s="35" t="s">
        <v>205</v>
      </c>
      <c r="M110" s="28">
        <v>94</v>
      </c>
      <c r="N110" s="28">
        <v>10</v>
      </c>
      <c r="O110" s="28">
        <v>104</v>
      </c>
      <c r="P110" s="35" t="s">
        <v>3</v>
      </c>
      <c r="Q110" s="68">
        <v>1500000</v>
      </c>
      <c r="R110" s="29"/>
      <c r="S110" s="34" t="s">
        <v>107</v>
      </c>
      <c r="T110" s="35" t="s">
        <v>439</v>
      </c>
      <c r="U110" s="35" t="s">
        <v>440</v>
      </c>
      <c r="V110" s="35">
        <v>124</v>
      </c>
      <c r="W110" s="35">
        <v>17</v>
      </c>
      <c r="X110" s="35">
        <v>4</v>
      </c>
      <c r="Y110" s="35">
        <v>8</v>
      </c>
      <c r="Z110" s="35">
        <v>4</v>
      </c>
      <c r="AB110" s="38">
        <f aca="true" t="shared" si="3" ref="AB110:AB120">SUM(V110:AA110)</f>
        <v>157</v>
      </c>
      <c r="AC110" s="85" t="s">
        <v>217</v>
      </c>
      <c r="AD110" s="85" t="s">
        <v>217</v>
      </c>
      <c r="AE110" s="85" t="s">
        <v>237</v>
      </c>
      <c r="AF110" s="38" t="s">
        <v>627</v>
      </c>
      <c r="AG110" s="35">
        <v>48157673400</v>
      </c>
      <c r="AH110" s="35" t="s">
        <v>124</v>
      </c>
      <c r="AI110" s="28">
        <v>7</v>
      </c>
      <c r="AJ110" s="28">
        <v>2</v>
      </c>
      <c r="AK110" s="30">
        <f>(88+89+88)/3</f>
        <v>88.33333333333333</v>
      </c>
      <c r="AL110" s="69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</row>
    <row r="111" spans="1:122" s="35" customFormat="1" ht="15" customHeight="1">
      <c r="A111" s="38">
        <v>16012</v>
      </c>
      <c r="B111" s="66" t="s">
        <v>441</v>
      </c>
      <c r="C111" s="66" t="s">
        <v>442</v>
      </c>
      <c r="D111" s="35" t="s">
        <v>443</v>
      </c>
      <c r="E111" s="35" t="s">
        <v>13</v>
      </c>
      <c r="F111" s="35">
        <v>77598</v>
      </c>
      <c r="G111" s="28">
        <v>6</v>
      </c>
      <c r="H111" s="28" t="s">
        <v>5</v>
      </c>
      <c r="I111" s="28"/>
      <c r="J111" s="28"/>
      <c r="K111" s="28"/>
      <c r="L111" s="35" t="s">
        <v>205</v>
      </c>
      <c r="M111" s="67">
        <v>104</v>
      </c>
      <c r="N111" s="67">
        <v>76</v>
      </c>
      <c r="O111" s="67">
        <v>180</v>
      </c>
      <c r="P111" s="35" t="s">
        <v>253</v>
      </c>
      <c r="Q111" s="68">
        <v>1438092</v>
      </c>
      <c r="R111" s="29"/>
      <c r="S111" s="29"/>
      <c r="T111" s="35" t="s">
        <v>45</v>
      </c>
      <c r="U111" s="35" t="s">
        <v>46</v>
      </c>
      <c r="V111" s="35">
        <v>124</v>
      </c>
      <c r="W111" s="35">
        <v>17</v>
      </c>
      <c r="X111" s="35">
        <v>4</v>
      </c>
      <c r="Y111" s="35">
        <v>8</v>
      </c>
      <c r="Z111" s="35">
        <v>4</v>
      </c>
      <c r="AB111" s="38">
        <f t="shared" si="3"/>
        <v>157</v>
      </c>
      <c r="AC111" s="85" t="s">
        <v>217</v>
      </c>
      <c r="AD111" s="85" t="s">
        <v>217</v>
      </c>
      <c r="AE111" s="85" t="s">
        <v>237</v>
      </c>
      <c r="AF111" s="38" t="s">
        <v>627</v>
      </c>
      <c r="AG111" s="35">
        <v>48201350802</v>
      </c>
      <c r="AH111" s="35" t="s">
        <v>124</v>
      </c>
      <c r="AI111" s="28">
        <v>7</v>
      </c>
      <c r="AJ111" s="28">
        <v>3.6</v>
      </c>
      <c r="AK111" s="30">
        <f>(88+84+94)/3</f>
        <v>88.66666666666667</v>
      </c>
      <c r="AL111" s="108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</row>
    <row r="112" spans="1:122" s="35" customFormat="1" ht="15" customHeight="1">
      <c r="A112" s="38">
        <v>16069</v>
      </c>
      <c r="B112" s="35" t="s">
        <v>444</v>
      </c>
      <c r="C112" s="35" t="s">
        <v>445</v>
      </c>
      <c r="D112" s="66" t="s">
        <v>446</v>
      </c>
      <c r="E112" s="35" t="s">
        <v>16</v>
      </c>
      <c r="F112" s="35">
        <v>77459</v>
      </c>
      <c r="G112" s="28">
        <v>6</v>
      </c>
      <c r="H112" s="28" t="s">
        <v>5</v>
      </c>
      <c r="I112" s="28"/>
      <c r="J112" s="28"/>
      <c r="K112" s="28"/>
      <c r="L112" s="35" t="s">
        <v>205</v>
      </c>
      <c r="M112" s="28">
        <v>105</v>
      </c>
      <c r="N112" s="28">
        <v>44</v>
      </c>
      <c r="O112" s="28">
        <v>149</v>
      </c>
      <c r="P112" s="35" t="s">
        <v>253</v>
      </c>
      <c r="Q112" s="68">
        <v>1500000</v>
      </c>
      <c r="R112" s="29"/>
      <c r="S112" s="29"/>
      <c r="T112" s="35" t="s">
        <v>10</v>
      </c>
      <c r="U112" s="35" t="s">
        <v>12</v>
      </c>
      <c r="V112" s="35">
        <v>123</v>
      </c>
      <c r="W112" s="35">
        <v>17</v>
      </c>
      <c r="X112" s="35">
        <v>4</v>
      </c>
      <c r="Y112" s="35">
        <v>8</v>
      </c>
      <c r="Z112" s="35">
        <v>4</v>
      </c>
      <c r="AB112" s="38">
        <f>SUM(V112:AA112)</f>
        <v>156</v>
      </c>
      <c r="AC112" s="85" t="s">
        <v>217</v>
      </c>
      <c r="AD112" s="85" t="s">
        <v>217</v>
      </c>
      <c r="AE112" s="85" t="s">
        <v>237</v>
      </c>
      <c r="AF112" s="38" t="s">
        <v>627</v>
      </c>
      <c r="AG112" s="35">
        <v>48157674501</v>
      </c>
      <c r="AH112" s="35" t="s">
        <v>124</v>
      </c>
      <c r="AI112" s="28">
        <v>7</v>
      </c>
      <c r="AJ112" s="28">
        <v>1.8</v>
      </c>
      <c r="AK112" s="30">
        <f>(91+94+93)/3</f>
        <v>92.66666666666667</v>
      </c>
      <c r="AL112" s="69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</row>
    <row r="113" spans="1:122" s="35" customFormat="1" ht="15" customHeight="1">
      <c r="A113" s="38">
        <v>16246</v>
      </c>
      <c r="B113" s="35" t="s">
        <v>447</v>
      </c>
      <c r="C113" s="66" t="s">
        <v>448</v>
      </c>
      <c r="D113" s="35" t="s">
        <v>176</v>
      </c>
      <c r="E113" s="35" t="s">
        <v>16</v>
      </c>
      <c r="F113" s="35">
        <v>77498</v>
      </c>
      <c r="G113" s="28">
        <v>6</v>
      </c>
      <c r="H113" s="28" t="s">
        <v>5</v>
      </c>
      <c r="I113" s="28"/>
      <c r="J113" s="28"/>
      <c r="K113" s="28"/>
      <c r="L113" s="35" t="s">
        <v>205</v>
      </c>
      <c r="M113" s="28">
        <v>72</v>
      </c>
      <c r="N113" s="28">
        <v>18</v>
      </c>
      <c r="O113" s="28">
        <v>90</v>
      </c>
      <c r="P113" s="35" t="s">
        <v>253</v>
      </c>
      <c r="Q113" s="68">
        <v>1064996</v>
      </c>
      <c r="R113" s="29"/>
      <c r="S113" s="29"/>
      <c r="T113" s="35" t="s">
        <v>164</v>
      </c>
      <c r="U113" s="35" t="s">
        <v>449</v>
      </c>
      <c r="V113" s="35">
        <v>122</v>
      </c>
      <c r="W113" s="35">
        <v>17</v>
      </c>
      <c r="X113" s="35">
        <v>4</v>
      </c>
      <c r="Y113" s="35">
        <v>8</v>
      </c>
      <c r="Z113" s="35">
        <v>4</v>
      </c>
      <c r="AB113" s="38">
        <f t="shared" si="3"/>
        <v>155</v>
      </c>
      <c r="AC113" s="85" t="s">
        <v>217</v>
      </c>
      <c r="AD113" s="85" t="s">
        <v>217</v>
      </c>
      <c r="AE113" s="85" t="s">
        <v>237</v>
      </c>
      <c r="AF113" s="38" t="s">
        <v>627</v>
      </c>
      <c r="AG113" s="35">
        <v>48157672701</v>
      </c>
      <c r="AH113" s="35" t="s">
        <v>115</v>
      </c>
      <c r="AI113" s="28">
        <v>6</v>
      </c>
      <c r="AJ113" s="28">
        <v>13.8</v>
      </c>
      <c r="AK113" s="30">
        <f>(78+76+87)/3</f>
        <v>80.33333333333333</v>
      </c>
      <c r="AL113" s="69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</row>
    <row r="114" spans="1:122" s="35" customFormat="1" ht="15" customHeight="1">
      <c r="A114" s="38">
        <v>16258</v>
      </c>
      <c r="B114" s="35" t="s">
        <v>450</v>
      </c>
      <c r="C114" s="35" t="s">
        <v>451</v>
      </c>
      <c r="D114" s="35" t="s">
        <v>11</v>
      </c>
      <c r="E114" s="35" t="s">
        <v>16</v>
      </c>
      <c r="F114" s="35">
        <v>77478</v>
      </c>
      <c r="G114" s="28">
        <v>6</v>
      </c>
      <c r="H114" s="28" t="s">
        <v>5</v>
      </c>
      <c r="I114" s="28"/>
      <c r="J114" s="28"/>
      <c r="K114" s="28"/>
      <c r="L114" s="35" t="s">
        <v>205</v>
      </c>
      <c r="M114" s="28">
        <v>94</v>
      </c>
      <c r="N114" s="28">
        <v>50</v>
      </c>
      <c r="O114" s="28">
        <v>144</v>
      </c>
      <c r="P114" s="35" t="s">
        <v>3</v>
      </c>
      <c r="Q114" s="68">
        <v>1500000</v>
      </c>
      <c r="R114" s="29"/>
      <c r="S114" s="34" t="s">
        <v>107</v>
      </c>
      <c r="T114" s="35" t="s">
        <v>164</v>
      </c>
      <c r="U114" s="35" t="s">
        <v>449</v>
      </c>
      <c r="V114" s="35">
        <v>122</v>
      </c>
      <c r="W114" s="35">
        <v>17</v>
      </c>
      <c r="X114" s="35">
        <v>4</v>
      </c>
      <c r="Y114" s="35">
        <v>8</v>
      </c>
      <c r="Z114" s="35">
        <v>4</v>
      </c>
      <c r="AB114" s="38">
        <f t="shared" si="3"/>
        <v>155</v>
      </c>
      <c r="AC114" s="85" t="s">
        <v>217</v>
      </c>
      <c r="AD114" s="85" t="s">
        <v>217</v>
      </c>
      <c r="AE114" s="85" t="s">
        <v>237</v>
      </c>
      <c r="AF114" s="38" t="s">
        <v>627</v>
      </c>
      <c r="AG114" s="35">
        <v>48157672301</v>
      </c>
      <c r="AH114" s="35" t="s">
        <v>115</v>
      </c>
      <c r="AI114" s="28">
        <v>5</v>
      </c>
      <c r="AJ114" s="28">
        <v>5.5</v>
      </c>
      <c r="AK114" s="30">
        <f>(81+82+87)/3</f>
        <v>83.33333333333333</v>
      </c>
      <c r="AL114" s="69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</row>
    <row r="115" spans="1:122" s="35" customFormat="1" ht="15" customHeight="1">
      <c r="A115" s="38">
        <v>16118</v>
      </c>
      <c r="B115" s="66" t="s">
        <v>452</v>
      </c>
      <c r="C115" s="35" t="s">
        <v>453</v>
      </c>
      <c r="D115" s="35" t="s">
        <v>11</v>
      </c>
      <c r="E115" s="35" t="s">
        <v>13</v>
      </c>
      <c r="F115" s="35">
        <v>77396</v>
      </c>
      <c r="G115" s="28">
        <v>6</v>
      </c>
      <c r="H115" s="28" t="s">
        <v>5</v>
      </c>
      <c r="I115" s="28"/>
      <c r="J115" s="28"/>
      <c r="K115" s="28"/>
      <c r="L115" s="35" t="s">
        <v>205</v>
      </c>
      <c r="M115" s="28">
        <v>110</v>
      </c>
      <c r="N115" s="28">
        <v>10</v>
      </c>
      <c r="O115" s="28">
        <v>120</v>
      </c>
      <c r="P115" s="35" t="s">
        <v>3</v>
      </c>
      <c r="Q115" s="68">
        <v>1500000</v>
      </c>
      <c r="R115" s="29"/>
      <c r="S115" s="34" t="s">
        <v>107</v>
      </c>
      <c r="T115" s="35" t="s">
        <v>376</v>
      </c>
      <c r="U115" s="35" t="s">
        <v>377</v>
      </c>
      <c r="V115" s="35">
        <v>122</v>
      </c>
      <c r="W115" s="35">
        <v>17</v>
      </c>
      <c r="X115" s="35">
        <v>4</v>
      </c>
      <c r="Y115" s="35">
        <v>8</v>
      </c>
      <c r="Z115" s="35">
        <v>4</v>
      </c>
      <c r="AB115" s="38">
        <f t="shared" si="3"/>
        <v>155</v>
      </c>
      <c r="AC115" s="85" t="s">
        <v>217</v>
      </c>
      <c r="AD115" s="85" t="s">
        <v>217</v>
      </c>
      <c r="AE115" s="85" t="s">
        <v>217</v>
      </c>
      <c r="AF115" s="38" t="s">
        <v>627</v>
      </c>
      <c r="AG115" s="35">
        <v>48201232200</v>
      </c>
      <c r="AH115" s="35" t="s">
        <v>115</v>
      </c>
      <c r="AI115" s="28">
        <v>5</v>
      </c>
      <c r="AJ115" s="28">
        <v>14.8</v>
      </c>
      <c r="AK115" s="30">
        <f>(89+84+79)/3</f>
        <v>84</v>
      </c>
      <c r="AL115" s="108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</row>
    <row r="116" spans="1:122" s="38" customFormat="1" ht="15" customHeight="1">
      <c r="A116" s="38">
        <v>16105</v>
      </c>
      <c r="B116" s="38" t="s">
        <v>14</v>
      </c>
      <c r="C116" s="38" t="s">
        <v>454</v>
      </c>
      <c r="D116" s="38" t="s">
        <v>15</v>
      </c>
      <c r="E116" s="38" t="s">
        <v>16</v>
      </c>
      <c r="F116" s="38">
        <v>77583</v>
      </c>
      <c r="G116" s="31">
        <v>6</v>
      </c>
      <c r="H116" s="31" t="s">
        <v>5</v>
      </c>
      <c r="I116" s="31"/>
      <c r="J116" s="31"/>
      <c r="K116" s="31"/>
      <c r="L116" s="38" t="s">
        <v>205</v>
      </c>
      <c r="M116" s="31">
        <v>88</v>
      </c>
      <c r="N116" s="31">
        <v>8</v>
      </c>
      <c r="O116" s="31">
        <v>96</v>
      </c>
      <c r="P116" s="38" t="s">
        <v>3</v>
      </c>
      <c r="Q116" s="64">
        <v>1500000</v>
      </c>
      <c r="R116" s="32"/>
      <c r="S116" s="61" t="s">
        <v>107</v>
      </c>
      <c r="T116" s="38" t="s">
        <v>455</v>
      </c>
      <c r="U116" s="38" t="s">
        <v>12</v>
      </c>
      <c r="V116" s="38">
        <v>118</v>
      </c>
      <c r="W116" s="38">
        <v>17</v>
      </c>
      <c r="X116" s="38">
        <v>4</v>
      </c>
      <c r="Y116" s="38">
        <v>8</v>
      </c>
      <c r="Z116" s="38">
        <v>4</v>
      </c>
      <c r="AB116" s="137">
        <f t="shared" si="3"/>
        <v>151</v>
      </c>
      <c r="AC116" s="85" t="s">
        <v>217</v>
      </c>
      <c r="AD116" s="85" t="s">
        <v>217</v>
      </c>
      <c r="AE116" s="85" t="s">
        <v>217</v>
      </c>
      <c r="AF116" s="38" t="s">
        <v>627</v>
      </c>
      <c r="AG116" s="38">
        <v>48157674501</v>
      </c>
      <c r="AH116" s="38" t="s">
        <v>124</v>
      </c>
      <c r="AI116" s="31">
        <v>3</v>
      </c>
      <c r="AJ116" s="31">
        <v>1.8</v>
      </c>
      <c r="AK116" s="36">
        <f>(72+85+93)/3</f>
        <v>83.33333333333333</v>
      </c>
      <c r="AL116" s="70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</row>
    <row r="117" spans="1:122" s="38" customFormat="1" ht="15" customHeight="1">
      <c r="A117" s="38">
        <v>16256</v>
      </c>
      <c r="B117" s="38" t="s">
        <v>456</v>
      </c>
      <c r="C117" s="38" t="s">
        <v>457</v>
      </c>
      <c r="D117" s="38" t="s">
        <v>458</v>
      </c>
      <c r="E117" s="38" t="s">
        <v>13</v>
      </c>
      <c r="F117" s="38">
        <v>77044</v>
      </c>
      <c r="G117" s="31">
        <v>6</v>
      </c>
      <c r="H117" s="31" t="s">
        <v>5</v>
      </c>
      <c r="I117" s="31"/>
      <c r="J117" s="31"/>
      <c r="K117" s="31"/>
      <c r="L117" s="38" t="s">
        <v>205</v>
      </c>
      <c r="M117" s="31">
        <v>102</v>
      </c>
      <c r="N117" s="31">
        <v>18</v>
      </c>
      <c r="O117" s="31">
        <v>120</v>
      </c>
      <c r="P117" s="38" t="s">
        <v>3</v>
      </c>
      <c r="Q117" s="64">
        <v>1500000</v>
      </c>
      <c r="R117" s="32"/>
      <c r="S117" s="32"/>
      <c r="T117" s="38" t="s">
        <v>51</v>
      </c>
      <c r="U117" s="38" t="s">
        <v>459</v>
      </c>
      <c r="V117" s="38">
        <v>125</v>
      </c>
      <c r="W117" s="38">
        <v>17</v>
      </c>
      <c r="X117" s="38">
        <v>4</v>
      </c>
      <c r="Y117" s="38">
        <v>0</v>
      </c>
      <c r="Z117" s="38">
        <v>4</v>
      </c>
      <c r="AB117" s="38">
        <f t="shared" si="3"/>
        <v>150</v>
      </c>
      <c r="AC117" s="85" t="s">
        <v>217</v>
      </c>
      <c r="AD117" s="85" t="s">
        <v>225</v>
      </c>
      <c r="AE117" s="85" t="s">
        <v>237</v>
      </c>
      <c r="AG117" s="38">
        <v>48201252000</v>
      </c>
      <c r="AH117" s="38" t="s">
        <v>124</v>
      </c>
      <c r="AI117" s="31">
        <v>7</v>
      </c>
      <c r="AJ117" s="31">
        <v>3.9</v>
      </c>
      <c r="AK117" s="36">
        <f>(88+84+79)/3</f>
        <v>83.66666666666667</v>
      </c>
      <c r="AL117" s="70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</row>
    <row r="118" spans="1:122" s="38" customFormat="1" ht="15" customHeight="1">
      <c r="A118" s="38">
        <v>16230</v>
      </c>
      <c r="B118" s="38" t="s">
        <v>460</v>
      </c>
      <c r="C118" s="38" t="s">
        <v>461</v>
      </c>
      <c r="D118" s="38" t="s">
        <v>11</v>
      </c>
      <c r="E118" s="38" t="s">
        <v>13</v>
      </c>
      <c r="F118" s="38">
        <v>77077</v>
      </c>
      <c r="G118" s="31">
        <v>6</v>
      </c>
      <c r="H118" s="31" t="s">
        <v>5</v>
      </c>
      <c r="I118" s="31"/>
      <c r="J118" s="31"/>
      <c r="K118" s="31"/>
      <c r="L118" s="38" t="s">
        <v>205</v>
      </c>
      <c r="M118" s="31">
        <v>96</v>
      </c>
      <c r="N118" s="31">
        <v>23</v>
      </c>
      <c r="O118" s="31">
        <v>119</v>
      </c>
      <c r="P118" s="38" t="s">
        <v>3</v>
      </c>
      <c r="Q118" s="64">
        <v>1500000</v>
      </c>
      <c r="R118" s="32"/>
      <c r="S118" s="32"/>
      <c r="T118" s="38" t="s">
        <v>30</v>
      </c>
      <c r="U118" s="38" t="s">
        <v>31</v>
      </c>
      <c r="V118" s="38">
        <v>124</v>
      </c>
      <c r="W118" s="38">
        <v>17</v>
      </c>
      <c r="X118" s="38">
        <v>4</v>
      </c>
      <c r="Y118" s="38">
        <v>-8</v>
      </c>
      <c r="Z118" s="38">
        <v>4</v>
      </c>
      <c r="AB118" s="38">
        <f t="shared" si="3"/>
        <v>141</v>
      </c>
      <c r="AC118" s="85" t="s">
        <v>225</v>
      </c>
      <c r="AD118" s="85" t="s">
        <v>225</v>
      </c>
      <c r="AE118" s="85" t="s">
        <v>237</v>
      </c>
      <c r="AG118" s="38">
        <v>48201451602</v>
      </c>
      <c r="AH118" s="38" t="s">
        <v>124</v>
      </c>
      <c r="AI118" s="31">
        <v>7</v>
      </c>
      <c r="AJ118" s="31">
        <v>8.1</v>
      </c>
      <c r="AK118" s="36">
        <f>(95+88+81)/3</f>
        <v>88</v>
      </c>
      <c r="AL118" s="39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</row>
    <row r="119" spans="1:122" s="38" customFormat="1" ht="15" customHeight="1">
      <c r="A119" s="38">
        <v>16395</v>
      </c>
      <c r="B119" s="26" t="s">
        <v>462</v>
      </c>
      <c r="C119" s="38" t="s">
        <v>463</v>
      </c>
      <c r="D119" s="38" t="s">
        <v>11</v>
      </c>
      <c r="E119" s="38" t="s">
        <v>13</v>
      </c>
      <c r="F119" s="38">
        <v>77051</v>
      </c>
      <c r="G119" s="31">
        <v>6</v>
      </c>
      <c r="H119" s="31" t="s">
        <v>5</v>
      </c>
      <c r="I119" s="31"/>
      <c r="J119" s="31"/>
      <c r="K119" s="31"/>
      <c r="L119" s="38" t="s">
        <v>205</v>
      </c>
      <c r="M119" s="31">
        <v>65</v>
      </c>
      <c r="N119" s="31">
        <v>35</v>
      </c>
      <c r="O119" s="31">
        <v>100</v>
      </c>
      <c r="P119" s="38" t="s">
        <v>3</v>
      </c>
      <c r="Q119" s="64">
        <v>933778</v>
      </c>
      <c r="R119" s="32"/>
      <c r="S119" s="32"/>
      <c r="T119" s="38" t="s">
        <v>45</v>
      </c>
      <c r="U119" s="38" t="s">
        <v>46</v>
      </c>
      <c r="V119" s="38">
        <v>108</v>
      </c>
      <c r="W119" s="38">
        <v>17</v>
      </c>
      <c r="X119" s="38">
        <v>8</v>
      </c>
      <c r="Y119" s="38">
        <v>8</v>
      </c>
      <c r="Z119" s="38">
        <v>0</v>
      </c>
      <c r="AB119" s="38">
        <f t="shared" si="3"/>
        <v>141</v>
      </c>
      <c r="AC119" s="85" t="s">
        <v>225</v>
      </c>
      <c r="AD119" s="85" t="s">
        <v>225</v>
      </c>
      <c r="AE119" s="85" t="s">
        <v>237</v>
      </c>
      <c r="AG119" s="38">
        <v>48201331300</v>
      </c>
      <c r="AH119" s="38" t="s">
        <v>110</v>
      </c>
      <c r="AI119" s="31">
        <v>0</v>
      </c>
      <c r="AJ119" s="31">
        <v>32.1</v>
      </c>
      <c r="AK119" s="36">
        <f>(68+48+44)/3</f>
        <v>53.333333333333336</v>
      </c>
      <c r="AL119" s="39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</row>
    <row r="120" spans="1:122" s="38" customFormat="1" ht="15" customHeight="1">
      <c r="A120" s="38">
        <v>16218</v>
      </c>
      <c r="B120" s="38" t="s">
        <v>464</v>
      </c>
      <c r="C120" s="38" t="s">
        <v>465</v>
      </c>
      <c r="D120" s="38" t="s">
        <v>11</v>
      </c>
      <c r="E120" s="38" t="s">
        <v>13</v>
      </c>
      <c r="F120" s="38">
        <v>77048</v>
      </c>
      <c r="G120" s="31">
        <v>6</v>
      </c>
      <c r="H120" s="31" t="s">
        <v>5</v>
      </c>
      <c r="I120" s="31"/>
      <c r="J120" s="31"/>
      <c r="K120" s="31" t="s">
        <v>107</v>
      </c>
      <c r="L120" s="38" t="s">
        <v>205</v>
      </c>
      <c r="M120" s="31">
        <v>96</v>
      </c>
      <c r="N120" s="31">
        <v>30</v>
      </c>
      <c r="O120" s="31">
        <v>126</v>
      </c>
      <c r="P120" s="38" t="s">
        <v>466</v>
      </c>
      <c r="Q120" s="64">
        <v>1500000</v>
      </c>
      <c r="R120" s="32"/>
      <c r="S120" s="32"/>
      <c r="T120" s="38" t="s">
        <v>44</v>
      </c>
      <c r="U120" s="38" t="s">
        <v>467</v>
      </c>
      <c r="V120" s="38">
        <v>120</v>
      </c>
      <c r="W120" s="38">
        <v>0</v>
      </c>
      <c r="X120" s="38">
        <v>4</v>
      </c>
      <c r="Y120" s="38">
        <v>0</v>
      </c>
      <c r="Z120" s="38">
        <v>4</v>
      </c>
      <c r="AB120" s="38">
        <f t="shared" si="3"/>
        <v>128</v>
      </c>
      <c r="AC120" s="85" t="s">
        <v>225</v>
      </c>
      <c r="AD120" s="85" t="s">
        <v>225</v>
      </c>
      <c r="AE120" s="85" t="s">
        <v>225</v>
      </c>
      <c r="AG120" s="38">
        <v>48201331700</v>
      </c>
      <c r="AH120" s="38" t="s">
        <v>110</v>
      </c>
      <c r="AI120" s="31">
        <v>0</v>
      </c>
      <c r="AJ120" s="31">
        <v>42.5</v>
      </c>
      <c r="AK120" s="36">
        <f>(72+52+51)/3</f>
        <v>58.333333333333336</v>
      </c>
      <c r="AL120" s="70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</row>
    <row r="121" spans="1:122" s="130" customFormat="1" ht="15" outlineLevel="1">
      <c r="A121" s="41" t="s">
        <v>101</v>
      </c>
      <c r="B121" s="109"/>
      <c r="C121" s="54">
        <v>10809069.31</v>
      </c>
      <c r="D121" s="125" t="s">
        <v>468</v>
      </c>
      <c r="E121" s="127"/>
      <c r="F121" s="127"/>
      <c r="G121" s="127"/>
      <c r="H121" s="127"/>
      <c r="I121" s="128"/>
      <c r="J121" s="127"/>
      <c r="K121" s="127"/>
      <c r="L121" s="127"/>
      <c r="M121" s="55"/>
      <c r="N121" s="55"/>
      <c r="O121" s="55"/>
      <c r="P121" s="44" t="s">
        <v>84</v>
      </c>
      <c r="Q121" s="129">
        <f>SUM(Q110:Q120)</f>
        <v>15436866</v>
      </c>
      <c r="T121" s="127"/>
      <c r="U121" s="127"/>
      <c r="V121" s="127"/>
      <c r="W121" s="127"/>
      <c r="X121" s="127"/>
      <c r="Y121" s="127"/>
      <c r="Z121" s="127"/>
      <c r="AA121" s="127"/>
      <c r="AB121" s="38"/>
      <c r="AC121" s="85"/>
      <c r="AD121" s="85"/>
      <c r="AE121" s="85"/>
      <c r="AF121" s="113"/>
      <c r="AG121" s="127"/>
      <c r="AH121" s="131"/>
      <c r="AI121" s="131"/>
      <c r="AJ121" s="56"/>
      <c r="AK121" s="57"/>
      <c r="AL121" s="132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</row>
    <row r="122" spans="1:122" s="38" customFormat="1" ht="12" customHeight="1">
      <c r="A122" s="48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58"/>
      <c r="Q122" s="133"/>
      <c r="R122" s="134"/>
      <c r="S122" s="134"/>
      <c r="V122" s="31"/>
      <c r="AC122" s="85"/>
      <c r="AD122" s="85"/>
      <c r="AE122" s="85"/>
      <c r="AF122" s="113"/>
      <c r="AG122" s="59"/>
      <c r="AH122" s="31"/>
      <c r="AI122" s="31"/>
      <c r="AJ122" s="60"/>
      <c r="AK122" s="36"/>
      <c r="AL122" s="39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</row>
    <row r="123" spans="1:122" s="38" customFormat="1" ht="15" customHeight="1">
      <c r="A123" s="51" t="str">
        <f>CONCATENATE("Region ",G124,"/",H124)</f>
        <v>Region 7/Rural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35"/>
      <c r="R123" s="136"/>
      <c r="S123" s="136"/>
      <c r="V123" s="31"/>
      <c r="AC123" s="85"/>
      <c r="AD123" s="85"/>
      <c r="AE123" s="85"/>
      <c r="AF123" s="113"/>
      <c r="AG123" s="59"/>
      <c r="AH123" s="31"/>
      <c r="AI123" s="31"/>
      <c r="AJ123" s="60"/>
      <c r="AK123" s="36"/>
      <c r="AL123" s="39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</row>
    <row r="124" spans="1:122" s="38" customFormat="1" ht="15" customHeight="1">
      <c r="A124" s="38">
        <v>16169</v>
      </c>
      <c r="B124" s="26" t="s">
        <v>469</v>
      </c>
      <c r="C124" s="38" t="s">
        <v>470</v>
      </c>
      <c r="D124" s="38" t="s">
        <v>471</v>
      </c>
      <c r="E124" s="38" t="s">
        <v>4</v>
      </c>
      <c r="F124" s="38">
        <v>78634</v>
      </c>
      <c r="G124" s="31">
        <v>7</v>
      </c>
      <c r="H124" s="31" t="s">
        <v>1</v>
      </c>
      <c r="I124" s="31"/>
      <c r="J124" s="31"/>
      <c r="K124" s="31"/>
      <c r="L124" s="38" t="s">
        <v>205</v>
      </c>
      <c r="M124" s="31">
        <v>35</v>
      </c>
      <c r="N124" s="31">
        <v>35</v>
      </c>
      <c r="O124" s="31">
        <v>70</v>
      </c>
      <c r="P124" s="38" t="s">
        <v>253</v>
      </c>
      <c r="Q124" s="64">
        <v>500000</v>
      </c>
      <c r="R124" s="32" t="s">
        <v>107</v>
      </c>
      <c r="S124" s="32"/>
      <c r="T124" s="38" t="s">
        <v>397</v>
      </c>
      <c r="U124" s="38" t="s">
        <v>207</v>
      </c>
      <c r="V124" s="38">
        <v>125</v>
      </c>
      <c r="W124" s="38">
        <v>17</v>
      </c>
      <c r="X124" s="38">
        <v>4</v>
      </c>
      <c r="Y124" s="38">
        <v>8</v>
      </c>
      <c r="Z124" s="38">
        <v>4</v>
      </c>
      <c r="AB124" s="38">
        <f>SUM(V124:AA124)</f>
        <v>158</v>
      </c>
      <c r="AC124" s="85" t="s">
        <v>217</v>
      </c>
      <c r="AD124" s="85" t="s">
        <v>217</v>
      </c>
      <c r="AE124" s="85" t="s">
        <v>217</v>
      </c>
      <c r="AF124" s="38" t="s">
        <v>627</v>
      </c>
      <c r="AG124" s="38">
        <v>48491020809</v>
      </c>
      <c r="AH124" s="38" t="s">
        <v>115</v>
      </c>
      <c r="AI124" s="31">
        <v>7</v>
      </c>
      <c r="AJ124" s="31">
        <v>3.1</v>
      </c>
      <c r="AK124" s="36">
        <f>(83+81+84)/3</f>
        <v>82.66666666666667</v>
      </c>
      <c r="AL124" s="39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</row>
    <row r="125" spans="1:122" s="38" customFormat="1" ht="15" customHeight="1">
      <c r="A125" s="38">
        <v>16196</v>
      </c>
      <c r="B125" s="38" t="s">
        <v>472</v>
      </c>
      <c r="C125" s="38" t="s">
        <v>473</v>
      </c>
      <c r="D125" s="38" t="s">
        <v>474</v>
      </c>
      <c r="E125" s="38" t="s">
        <v>55</v>
      </c>
      <c r="F125" s="38">
        <v>78676</v>
      </c>
      <c r="G125" s="31">
        <v>7</v>
      </c>
      <c r="H125" s="31" t="s">
        <v>1</v>
      </c>
      <c r="I125" s="31"/>
      <c r="J125" s="31"/>
      <c r="K125" s="31" t="s">
        <v>107</v>
      </c>
      <c r="L125" s="38" t="s">
        <v>205</v>
      </c>
      <c r="M125" s="31">
        <v>40</v>
      </c>
      <c r="N125" s="31">
        <v>40</v>
      </c>
      <c r="O125" s="31">
        <v>80</v>
      </c>
      <c r="P125" s="38" t="s">
        <v>253</v>
      </c>
      <c r="Q125" s="64">
        <v>500000</v>
      </c>
      <c r="R125" s="32" t="s">
        <v>107</v>
      </c>
      <c r="S125" s="32"/>
      <c r="T125" s="38" t="s">
        <v>74</v>
      </c>
      <c r="U125" s="38" t="s">
        <v>178</v>
      </c>
      <c r="V125" s="38">
        <v>125</v>
      </c>
      <c r="W125" s="38">
        <v>17</v>
      </c>
      <c r="X125" s="38">
        <v>4</v>
      </c>
      <c r="Y125" s="38">
        <v>8</v>
      </c>
      <c r="Z125" s="38">
        <v>4</v>
      </c>
      <c r="AB125" s="38">
        <f>SUM(V125:AA125)</f>
        <v>158</v>
      </c>
      <c r="AC125" s="85" t="s">
        <v>217</v>
      </c>
      <c r="AD125" s="85" t="s">
        <v>225</v>
      </c>
      <c r="AE125" s="85" t="s">
        <v>237</v>
      </c>
      <c r="AG125" s="38">
        <v>48209010804</v>
      </c>
      <c r="AH125" s="38" t="s">
        <v>115</v>
      </c>
      <c r="AI125" s="31">
        <v>7</v>
      </c>
      <c r="AJ125" s="31">
        <v>4.1</v>
      </c>
      <c r="AK125" s="36">
        <f>(88+91+91)/3</f>
        <v>90</v>
      </c>
      <c r="AL125" s="39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</row>
    <row r="126" spans="1:122" s="38" customFormat="1" ht="15" customHeight="1">
      <c r="A126" s="38">
        <v>16075</v>
      </c>
      <c r="B126" s="38" t="s">
        <v>475</v>
      </c>
      <c r="C126" s="26" t="s">
        <v>476</v>
      </c>
      <c r="D126" s="38" t="s">
        <v>345</v>
      </c>
      <c r="E126" s="38" t="s">
        <v>4</v>
      </c>
      <c r="F126" s="38">
        <v>76574</v>
      </c>
      <c r="G126" s="31">
        <v>7</v>
      </c>
      <c r="H126" s="31" t="s">
        <v>1</v>
      </c>
      <c r="I126" s="31"/>
      <c r="J126" s="31"/>
      <c r="K126" s="31"/>
      <c r="L126" s="38" t="s">
        <v>205</v>
      </c>
      <c r="M126" s="31">
        <v>30</v>
      </c>
      <c r="N126" s="31">
        <v>16</v>
      </c>
      <c r="O126" s="31">
        <v>46</v>
      </c>
      <c r="P126" s="38" t="s">
        <v>253</v>
      </c>
      <c r="Q126" s="64">
        <v>500000</v>
      </c>
      <c r="R126" s="32"/>
      <c r="S126" s="32"/>
      <c r="T126" s="38" t="s">
        <v>56</v>
      </c>
      <c r="U126" s="38" t="s">
        <v>349</v>
      </c>
      <c r="V126" s="38">
        <v>123</v>
      </c>
      <c r="W126" s="38">
        <v>17</v>
      </c>
      <c r="X126" s="38">
        <v>4</v>
      </c>
      <c r="Y126" s="38">
        <v>8</v>
      </c>
      <c r="Z126" s="38">
        <v>4</v>
      </c>
      <c r="AB126" s="38">
        <f>SUM(V126:AA126)</f>
        <v>156</v>
      </c>
      <c r="AC126" s="85" t="s">
        <v>225</v>
      </c>
      <c r="AD126" s="85" t="s">
        <v>225</v>
      </c>
      <c r="AE126" s="85" t="s">
        <v>237</v>
      </c>
      <c r="AG126" s="38">
        <v>48491021201</v>
      </c>
      <c r="AH126" s="38" t="s">
        <v>115</v>
      </c>
      <c r="AI126" s="31">
        <v>7</v>
      </c>
      <c r="AJ126" s="31">
        <v>3.7</v>
      </c>
      <c r="AK126" s="36">
        <v>79</v>
      </c>
      <c r="AL126" s="39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</row>
    <row r="127" spans="1:122" s="130" customFormat="1" ht="15" outlineLevel="1">
      <c r="A127" s="41" t="s">
        <v>101</v>
      </c>
      <c r="B127" s="109"/>
      <c r="C127" s="54">
        <v>500000</v>
      </c>
      <c r="D127" s="127"/>
      <c r="E127" s="127"/>
      <c r="F127" s="127"/>
      <c r="G127" s="127"/>
      <c r="H127" s="127"/>
      <c r="I127" s="128"/>
      <c r="J127" s="127"/>
      <c r="K127" s="127"/>
      <c r="L127" s="127"/>
      <c r="M127" s="55"/>
      <c r="N127" s="55"/>
      <c r="O127" s="55"/>
      <c r="P127" s="44" t="s">
        <v>84</v>
      </c>
      <c r="Q127" s="129">
        <f>SUM(Q124:Q126)</f>
        <v>1500000</v>
      </c>
      <c r="T127" s="127"/>
      <c r="U127" s="127"/>
      <c r="V127" s="127"/>
      <c r="W127" s="127"/>
      <c r="X127" s="127"/>
      <c r="Y127" s="127"/>
      <c r="Z127" s="127"/>
      <c r="AA127" s="127"/>
      <c r="AB127" s="38"/>
      <c r="AC127" s="85"/>
      <c r="AD127" s="85"/>
      <c r="AE127" s="85"/>
      <c r="AF127" s="113"/>
      <c r="AG127" s="127"/>
      <c r="AH127" s="131"/>
      <c r="AI127" s="131"/>
      <c r="AJ127" s="56"/>
      <c r="AK127" s="57"/>
      <c r="AL127" s="132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</row>
    <row r="128" spans="1:122" s="38" customFormat="1" ht="12" customHeight="1">
      <c r="A128" s="48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58"/>
      <c r="Q128" s="133"/>
      <c r="R128" s="134"/>
      <c r="S128" s="134"/>
      <c r="V128" s="31"/>
      <c r="AC128" s="85"/>
      <c r="AD128" s="85"/>
      <c r="AE128" s="85"/>
      <c r="AF128" s="113"/>
      <c r="AG128" s="59"/>
      <c r="AH128" s="31"/>
      <c r="AI128" s="31"/>
      <c r="AJ128" s="60"/>
      <c r="AK128" s="36"/>
      <c r="AL128" s="39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</row>
    <row r="129" spans="1:122" s="38" customFormat="1" ht="15" customHeight="1">
      <c r="A129" s="51" t="str">
        <f>CONCATENATE("Region ",G130,"/",H130)</f>
        <v>Region 7/Urban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135"/>
      <c r="R129" s="136"/>
      <c r="S129" s="136"/>
      <c r="V129" s="31"/>
      <c r="AC129" s="85"/>
      <c r="AD129" s="85"/>
      <c r="AE129" s="85"/>
      <c r="AF129" s="113"/>
      <c r="AG129" s="59"/>
      <c r="AH129" s="31"/>
      <c r="AI129" s="31"/>
      <c r="AJ129" s="60"/>
      <c r="AK129" s="36"/>
      <c r="AL129" s="39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</row>
    <row r="130" spans="1:122" s="38" customFormat="1" ht="15" customHeight="1">
      <c r="A130" s="38">
        <v>16185</v>
      </c>
      <c r="B130" s="38" t="s">
        <v>477</v>
      </c>
      <c r="C130" s="38" t="s">
        <v>478</v>
      </c>
      <c r="D130" s="38" t="s">
        <v>128</v>
      </c>
      <c r="E130" s="38" t="s">
        <v>4</v>
      </c>
      <c r="F130" s="38">
        <v>78663</v>
      </c>
      <c r="G130" s="31">
        <v>7</v>
      </c>
      <c r="H130" s="31" t="s">
        <v>5</v>
      </c>
      <c r="I130" s="31"/>
      <c r="J130" s="31"/>
      <c r="K130" s="31" t="s">
        <v>107</v>
      </c>
      <c r="L130" s="38" t="s">
        <v>205</v>
      </c>
      <c r="M130" s="31">
        <v>122</v>
      </c>
      <c r="N130" s="31">
        <v>122</v>
      </c>
      <c r="O130" s="31">
        <v>244</v>
      </c>
      <c r="P130" s="38" t="s">
        <v>253</v>
      </c>
      <c r="Q130" s="64">
        <v>1194724</v>
      </c>
      <c r="R130" s="32" t="s">
        <v>107</v>
      </c>
      <c r="S130" s="32"/>
      <c r="T130" s="38" t="s">
        <v>74</v>
      </c>
      <c r="U130" s="38" t="s">
        <v>479</v>
      </c>
      <c r="V130" s="38">
        <v>124</v>
      </c>
      <c r="W130" s="38">
        <v>17</v>
      </c>
      <c r="X130" s="38">
        <v>4</v>
      </c>
      <c r="Y130" s="38">
        <v>8</v>
      </c>
      <c r="Z130" s="38">
        <v>4</v>
      </c>
      <c r="AB130" s="38">
        <f>SUM(V130:AA130)</f>
        <v>157</v>
      </c>
      <c r="AC130" s="85" t="s">
        <v>217</v>
      </c>
      <c r="AD130" s="85" t="s">
        <v>217</v>
      </c>
      <c r="AE130" s="85" t="s">
        <v>237</v>
      </c>
      <c r="AF130" s="38" t="s">
        <v>627</v>
      </c>
      <c r="AG130" s="38">
        <v>48491020109</v>
      </c>
      <c r="AH130" s="38" t="s">
        <v>124</v>
      </c>
      <c r="AI130" s="31">
        <v>7</v>
      </c>
      <c r="AJ130" s="31">
        <v>1.4</v>
      </c>
      <c r="AK130" s="36">
        <f>(80+84+88)/3</f>
        <v>84</v>
      </c>
      <c r="AL130" s="39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</row>
    <row r="131" spans="1:122" s="38" customFormat="1" ht="15" customHeight="1">
      <c r="A131" s="38">
        <v>16188</v>
      </c>
      <c r="B131" s="38" t="s">
        <v>480</v>
      </c>
      <c r="C131" s="38" t="s">
        <v>481</v>
      </c>
      <c r="D131" s="38" t="s">
        <v>128</v>
      </c>
      <c r="E131" s="38" t="s">
        <v>4</v>
      </c>
      <c r="F131" s="38">
        <v>78633</v>
      </c>
      <c r="G131" s="31">
        <v>7</v>
      </c>
      <c r="H131" s="31" t="s">
        <v>5</v>
      </c>
      <c r="I131" s="31"/>
      <c r="J131" s="31"/>
      <c r="K131" s="31"/>
      <c r="L131" s="38" t="s">
        <v>205</v>
      </c>
      <c r="M131" s="31">
        <v>80</v>
      </c>
      <c r="N131" s="31">
        <v>22</v>
      </c>
      <c r="O131" s="31">
        <v>102</v>
      </c>
      <c r="P131" s="38" t="s">
        <v>3</v>
      </c>
      <c r="Q131" s="64">
        <v>1373400</v>
      </c>
      <c r="R131" s="32"/>
      <c r="S131" s="61" t="s">
        <v>107</v>
      </c>
      <c r="T131" s="38" t="s">
        <v>73</v>
      </c>
      <c r="U131" s="38" t="s">
        <v>62</v>
      </c>
      <c r="V131" s="38">
        <v>124</v>
      </c>
      <c r="W131" s="38">
        <v>17</v>
      </c>
      <c r="X131" s="38">
        <v>4</v>
      </c>
      <c r="Y131" s="38">
        <v>0</v>
      </c>
      <c r="Z131" s="38">
        <v>4</v>
      </c>
      <c r="AB131" s="38">
        <f>SUM(V131:AA131)</f>
        <v>149</v>
      </c>
      <c r="AC131" s="85" t="s">
        <v>217</v>
      </c>
      <c r="AD131" s="85" t="s">
        <v>217</v>
      </c>
      <c r="AE131" s="85" t="s">
        <v>237</v>
      </c>
      <c r="AF131" s="38" t="s">
        <v>627</v>
      </c>
      <c r="AG131" s="38">
        <v>48491020109</v>
      </c>
      <c r="AH131" s="38" t="s">
        <v>124</v>
      </c>
      <c r="AI131" s="31">
        <v>7</v>
      </c>
      <c r="AJ131" s="31">
        <v>1.4</v>
      </c>
      <c r="AK131" s="36">
        <f>(90+84+88)/3</f>
        <v>87.33333333333333</v>
      </c>
      <c r="AL131" s="39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</row>
    <row r="132" spans="1:122" s="38" customFormat="1" ht="15" customHeight="1">
      <c r="A132" s="38">
        <v>16068</v>
      </c>
      <c r="B132" s="38" t="s">
        <v>482</v>
      </c>
      <c r="C132" s="38" t="s">
        <v>483</v>
      </c>
      <c r="D132" s="38" t="s">
        <v>128</v>
      </c>
      <c r="E132" s="38" t="s">
        <v>4</v>
      </c>
      <c r="F132" s="38">
        <v>78628</v>
      </c>
      <c r="G132" s="31">
        <v>7</v>
      </c>
      <c r="H132" s="31" t="s">
        <v>5</v>
      </c>
      <c r="I132" s="31"/>
      <c r="J132" s="31"/>
      <c r="K132" s="31"/>
      <c r="L132" s="38" t="s">
        <v>205</v>
      </c>
      <c r="M132" s="31">
        <v>108</v>
      </c>
      <c r="N132" s="31">
        <v>0</v>
      </c>
      <c r="O132" s="31">
        <v>108</v>
      </c>
      <c r="P132" s="38" t="s">
        <v>3</v>
      </c>
      <c r="Q132" s="64">
        <v>1500000</v>
      </c>
      <c r="R132" s="32"/>
      <c r="S132" s="61" t="s">
        <v>107</v>
      </c>
      <c r="T132" s="38" t="s">
        <v>484</v>
      </c>
      <c r="U132" s="38" t="s">
        <v>485</v>
      </c>
      <c r="V132" s="38">
        <v>124</v>
      </c>
      <c r="W132" s="38">
        <v>17</v>
      </c>
      <c r="X132" s="38">
        <v>4</v>
      </c>
      <c r="Y132" s="38">
        <v>0</v>
      </c>
      <c r="Z132" s="38">
        <v>4</v>
      </c>
      <c r="AB132" s="38">
        <f>SUM(V132:AA132)</f>
        <v>149</v>
      </c>
      <c r="AC132" s="85" t="s">
        <v>217</v>
      </c>
      <c r="AD132" s="85" t="s">
        <v>217</v>
      </c>
      <c r="AE132" s="85" t="s">
        <v>237</v>
      </c>
      <c r="AF132" s="38" t="s">
        <v>627</v>
      </c>
      <c r="AG132" s="38">
        <v>48491020108</v>
      </c>
      <c r="AH132" s="38" t="s">
        <v>124</v>
      </c>
      <c r="AI132" s="31">
        <v>7</v>
      </c>
      <c r="AJ132" s="31">
        <v>2.3</v>
      </c>
      <c r="AK132" s="36">
        <f>(62+77+74)/3</f>
        <v>71</v>
      </c>
      <c r="AL132" s="39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</row>
    <row r="133" spans="1:122" s="38" customFormat="1" ht="15" customHeight="1">
      <c r="A133" s="38">
        <v>16161</v>
      </c>
      <c r="B133" s="38" t="s">
        <v>486</v>
      </c>
      <c r="C133" s="38" t="s">
        <v>487</v>
      </c>
      <c r="D133" s="38" t="s">
        <v>6</v>
      </c>
      <c r="E133" s="38" t="s">
        <v>39</v>
      </c>
      <c r="F133" s="38">
        <v>78727</v>
      </c>
      <c r="G133" s="31">
        <v>7</v>
      </c>
      <c r="H133" s="31" t="s">
        <v>5</v>
      </c>
      <c r="I133" s="31"/>
      <c r="J133" s="31"/>
      <c r="K133" s="31"/>
      <c r="L133" s="38" t="s">
        <v>205</v>
      </c>
      <c r="M133" s="31">
        <v>70</v>
      </c>
      <c r="N133" s="31">
        <v>10</v>
      </c>
      <c r="O133" s="31">
        <v>80</v>
      </c>
      <c r="P133" s="38" t="s">
        <v>3</v>
      </c>
      <c r="Q133" s="64">
        <v>1271500</v>
      </c>
      <c r="R133" s="32"/>
      <c r="S133" s="32"/>
      <c r="T133" s="38" t="s">
        <v>73</v>
      </c>
      <c r="U133" s="38" t="s">
        <v>62</v>
      </c>
      <c r="V133" s="38">
        <v>124</v>
      </c>
      <c r="W133" s="38">
        <v>17</v>
      </c>
      <c r="X133" s="38">
        <v>4</v>
      </c>
      <c r="Y133" s="38">
        <v>0</v>
      </c>
      <c r="Z133" s="38">
        <v>4</v>
      </c>
      <c r="AB133" s="38">
        <f>SUM(V133:AA133)</f>
        <v>149</v>
      </c>
      <c r="AC133" s="85" t="s">
        <v>225</v>
      </c>
      <c r="AD133" s="85" t="s">
        <v>225</v>
      </c>
      <c r="AE133" s="85" t="s">
        <v>237</v>
      </c>
      <c r="AG133" s="38">
        <v>48453001846</v>
      </c>
      <c r="AH133" s="38" t="s">
        <v>124</v>
      </c>
      <c r="AI133" s="31">
        <v>7</v>
      </c>
      <c r="AJ133" s="31">
        <v>12.5</v>
      </c>
      <c r="AK133" s="36">
        <f>(86+89+92)/3</f>
        <v>89</v>
      </c>
      <c r="AL133" s="39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</row>
    <row r="134" spans="1:122" s="130" customFormat="1" ht="15" outlineLevel="1">
      <c r="A134" s="41" t="s">
        <v>101</v>
      </c>
      <c r="B134" s="109"/>
      <c r="C134" s="54">
        <v>4177568.44</v>
      </c>
      <c r="D134" s="125" t="s">
        <v>488</v>
      </c>
      <c r="E134" s="127"/>
      <c r="F134" s="127"/>
      <c r="G134" s="127"/>
      <c r="H134" s="127"/>
      <c r="I134" s="128"/>
      <c r="J134" s="127"/>
      <c r="K134" s="127"/>
      <c r="L134" s="127"/>
      <c r="M134" s="55"/>
      <c r="N134" s="55"/>
      <c r="O134" s="55"/>
      <c r="P134" s="44" t="s">
        <v>84</v>
      </c>
      <c r="Q134" s="129">
        <f>SUM(Q130:Q133)</f>
        <v>5339624</v>
      </c>
      <c r="T134" s="127"/>
      <c r="U134" s="127"/>
      <c r="V134" s="127"/>
      <c r="W134" s="127"/>
      <c r="X134" s="127"/>
      <c r="Y134" s="127"/>
      <c r="Z134" s="127"/>
      <c r="AA134" s="127"/>
      <c r="AB134" s="38"/>
      <c r="AC134" s="85"/>
      <c r="AD134" s="85"/>
      <c r="AE134" s="85"/>
      <c r="AF134" s="113"/>
      <c r="AG134" s="127"/>
      <c r="AH134" s="131"/>
      <c r="AI134" s="131"/>
      <c r="AJ134" s="56"/>
      <c r="AK134" s="57"/>
      <c r="AL134" s="132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</row>
    <row r="135" spans="1:122" s="35" customFormat="1" ht="12" customHeight="1">
      <c r="A135" s="48"/>
      <c r="B135" s="3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62"/>
      <c r="Q135" s="122"/>
      <c r="R135" s="123"/>
      <c r="S135" s="123"/>
      <c r="V135" s="28"/>
      <c r="AB135" s="38"/>
      <c r="AC135" s="85"/>
      <c r="AD135" s="85"/>
      <c r="AE135" s="85"/>
      <c r="AF135" s="113"/>
      <c r="AH135" s="28"/>
      <c r="AI135" s="28"/>
      <c r="AJ135" s="50"/>
      <c r="AK135" s="30"/>
      <c r="AL135" s="69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</row>
    <row r="136" spans="1:122" s="35" customFormat="1" ht="15" customHeight="1">
      <c r="A136" s="51" t="str">
        <f>CONCATENATE("Region ",G137,"/",H137)</f>
        <v>Region 8/Rural</v>
      </c>
      <c r="B136" s="3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120"/>
      <c r="R136" s="121"/>
      <c r="S136" s="121"/>
      <c r="V136" s="28"/>
      <c r="AB136" s="38"/>
      <c r="AC136" s="85"/>
      <c r="AD136" s="85"/>
      <c r="AE136" s="85"/>
      <c r="AF136" s="113"/>
      <c r="AH136" s="28"/>
      <c r="AI136" s="28"/>
      <c r="AJ136" s="50"/>
      <c r="AK136" s="30"/>
      <c r="AL136" s="69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</row>
    <row r="137" spans="1:122" s="38" customFormat="1" ht="15" customHeight="1">
      <c r="A137" s="38">
        <v>16008</v>
      </c>
      <c r="B137" s="38" t="s">
        <v>489</v>
      </c>
      <c r="C137" s="38" t="s">
        <v>490</v>
      </c>
      <c r="D137" s="38" t="s">
        <v>491</v>
      </c>
      <c r="E137" s="38" t="s">
        <v>492</v>
      </c>
      <c r="F137" s="38">
        <v>76657</v>
      </c>
      <c r="G137" s="31">
        <v>8</v>
      </c>
      <c r="H137" s="31" t="s">
        <v>1</v>
      </c>
      <c r="I137" s="31"/>
      <c r="J137" s="31"/>
      <c r="K137" s="31"/>
      <c r="L137" s="38" t="s">
        <v>229</v>
      </c>
      <c r="M137" s="63">
        <v>43</v>
      </c>
      <c r="N137" s="63">
        <v>5</v>
      </c>
      <c r="O137" s="63">
        <v>48</v>
      </c>
      <c r="P137" s="38" t="s">
        <v>3</v>
      </c>
      <c r="Q137" s="64">
        <v>501703</v>
      </c>
      <c r="R137" s="32"/>
      <c r="S137" s="32"/>
      <c r="T137" s="38" t="s">
        <v>353</v>
      </c>
      <c r="U137" s="38" t="s">
        <v>354</v>
      </c>
      <c r="V137" s="38">
        <v>123</v>
      </c>
      <c r="W137" s="38">
        <v>17</v>
      </c>
      <c r="X137" s="38">
        <v>4</v>
      </c>
      <c r="Y137" s="38">
        <v>8</v>
      </c>
      <c r="Z137" s="38">
        <v>4</v>
      </c>
      <c r="AB137" s="38">
        <f>SUM(V137:AA137)</f>
        <v>156</v>
      </c>
      <c r="AC137" s="85" t="s">
        <v>217</v>
      </c>
      <c r="AD137" s="85" t="s">
        <v>217</v>
      </c>
      <c r="AE137" s="85" t="s">
        <v>217</v>
      </c>
      <c r="AF137" s="38" t="s">
        <v>627</v>
      </c>
      <c r="AG137" s="38">
        <v>48309003900</v>
      </c>
      <c r="AH137" s="38" t="s">
        <v>124</v>
      </c>
      <c r="AI137" s="31">
        <v>7</v>
      </c>
      <c r="AJ137" s="31">
        <v>10.3</v>
      </c>
      <c r="AK137" s="36">
        <f>(75+77+90)/3</f>
        <v>80.66666666666667</v>
      </c>
      <c r="AL137" s="108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</row>
    <row r="138" spans="1:122" s="38" customFormat="1" ht="15" customHeight="1">
      <c r="A138" s="38">
        <v>16130</v>
      </c>
      <c r="B138" s="38" t="s">
        <v>493</v>
      </c>
      <c r="C138" s="38" t="s">
        <v>494</v>
      </c>
      <c r="D138" s="38" t="s">
        <v>495</v>
      </c>
      <c r="E138" s="38" t="s">
        <v>495</v>
      </c>
      <c r="F138" s="38">
        <v>76877</v>
      </c>
      <c r="G138" s="31">
        <v>8</v>
      </c>
      <c r="H138" s="31" t="s">
        <v>1</v>
      </c>
      <c r="I138" s="31"/>
      <c r="J138" s="31"/>
      <c r="K138" s="31" t="s">
        <v>107</v>
      </c>
      <c r="L138" s="38" t="s">
        <v>205</v>
      </c>
      <c r="M138" s="31">
        <v>32</v>
      </c>
      <c r="N138" s="31">
        <v>4</v>
      </c>
      <c r="O138" s="31">
        <v>36</v>
      </c>
      <c r="P138" s="38" t="s">
        <v>3</v>
      </c>
      <c r="Q138" s="64">
        <v>497298</v>
      </c>
      <c r="R138" s="32"/>
      <c r="S138" s="32"/>
      <c r="T138" s="38" t="s">
        <v>496</v>
      </c>
      <c r="U138" s="38" t="s">
        <v>145</v>
      </c>
      <c r="V138" s="38">
        <v>118</v>
      </c>
      <c r="W138" s="38">
        <v>17</v>
      </c>
      <c r="X138" s="38">
        <v>4</v>
      </c>
      <c r="Y138" s="38">
        <v>8</v>
      </c>
      <c r="Z138" s="38">
        <v>4</v>
      </c>
      <c r="AB138" s="38">
        <f>SUM(V138:AA138)</f>
        <v>151</v>
      </c>
      <c r="AC138" s="85" t="s">
        <v>217</v>
      </c>
      <c r="AD138" s="85" t="s">
        <v>225</v>
      </c>
      <c r="AE138" s="85" t="s">
        <v>217</v>
      </c>
      <c r="AG138" s="38">
        <v>48411950100</v>
      </c>
      <c r="AH138" s="38" t="s">
        <v>110</v>
      </c>
      <c r="AI138" s="31">
        <v>7</v>
      </c>
      <c r="AJ138" s="31">
        <v>18.6</v>
      </c>
      <c r="AK138" s="36">
        <f>(87+86+87)/3</f>
        <v>86.66666666666667</v>
      </c>
      <c r="AL138" s="70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</row>
    <row r="139" spans="1:122" s="130" customFormat="1" ht="15" outlineLevel="1">
      <c r="A139" s="41" t="s">
        <v>101</v>
      </c>
      <c r="B139" s="109"/>
      <c r="C139" s="54">
        <v>571748.01</v>
      </c>
      <c r="D139" s="127"/>
      <c r="E139" s="127"/>
      <c r="F139" s="127"/>
      <c r="G139" s="127"/>
      <c r="H139" s="127"/>
      <c r="I139" s="128"/>
      <c r="J139" s="127"/>
      <c r="K139" s="127"/>
      <c r="L139" s="127"/>
      <c r="M139" s="55"/>
      <c r="N139" s="55"/>
      <c r="O139" s="55"/>
      <c r="P139" s="44" t="s">
        <v>84</v>
      </c>
      <c r="Q139" s="129">
        <f>SUM(Q137:Q138)</f>
        <v>999001</v>
      </c>
      <c r="T139" s="127"/>
      <c r="U139" s="127"/>
      <c r="V139" s="127"/>
      <c r="W139" s="127"/>
      <c r="X139" s="127"/>
      <c r="Y139" s="127"/>
      <c r="Z139" s="127"/>
      <c r="AA139" s="127"/>
      <c r="AB139" s="38"/>
      <c r="AC139" s="85"/>
      <c r="AD139" s="85"/>
      <c r="AE139" s="85"/>
      <c r="AF139" s="113"/>
      <c r="AG139" s="127"/>
      <c r="AH139" s="131"/>
      <c r="AI139" s="131"/>
      <c r="AJ139" s="56"/>
      <c r="AK139" s="57"/>
      <c r="AL139" s="132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</row>
    <row r="140" spans="1:122" s="38" customFormat="1" ht="12" customHeight="1">
      <c r="A140" s="48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58"/>
      <c r="Q140" s="133"/>
      <c r="R140" s="134"/>
      <c r="S140" s="134"/>
      <c r="V140" s="31"/>
      <c r="AC140" s="85"/>
      <c r="AD140" s="85"/>
      <c r="AE140" s="85"/>
      <c r="AF140" s="113"/>
      <c r="AG140" s="59"/>
      <c r="AH140" s="31"/>
      <c r="AI140" s="31"/>
      <c r="AJ140" s="60"/>
      <c r="AK140" s="36"/>
      <c r="AL140" s="39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</row>
    <row r="141" spans="1:122" s="38" customFormat="1" ht="15" customHeight="1">
      <c r="A141" s="51" t="str">
        <f>CONCATENATE("Region ",G142,"/",H142)</f>
        <v>Region 8/Urban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35"/>
      <c r="R141" s="136"/>
      <c r="S141" s="136"/>
      <c r="V141" s="31"/>
      <c r="AC141" s="85"/>
      <c r="AD141" s="85"/>
      <c r="AE141" s="85"/>
      <c r="AF141" s="113"/>
      <c r="AG141" s="59"/>
      <c r="AH141" s="31"/>
      <c r="AI141" s="31"/>
      <c r="AJ141" s="60"/>
      <c r="AK141" s="36"/>
      <c r="AL141" s="39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</row>
    <row r="142" spans="1:122" s="38" customFormat="1" ht="15" customHeight="1">
      <c r="A142" s="38">
        <v>16115</v>
      </c>
      <c r="B142" s="38" t="s">
        <v>497</v>
      </c>
      <c r="C142" s="38" t="s">
        <v>498</v>
      </c>
      <c r="D142" s="38" t="s">
        <v>499</v>
      </c>
      <c r="E142" s="38" t="s">
        <v>492</v>
      </c>
      <c r="F142" s="38">
        <v>76643</v>
      </c>
      <c r="G142" s="31">
        <v>8</v>
      </c>
      <c r="H142" s="31" t="s">
        <v>5</v>
      </c>
      <c r="I142" s="31"/>
      <c r="J142" s="31"/>
      <c r="K142" s="31"/>
      <c r="L142" s="38" t="s">
        <v>205</v>
      </c>
      <c r="M142" s="31">
        <v>90</v>
      </c>
      <c r="N142" s="31">
        <v>23</v>
      </c>
      <c r="O142" s="31">
        <v>113</v>
      </c>
      <c r="P142" s="38" t="s">
        <v>253</v>
      </c>
      <c r="Q142" s="64">
        <v>1284953</v>
      </c>
      <c r="R142" s="32" t="s">
        <v>107</v>
      </c>
      <c r="S142" s="32"/>
      <c r="T142" s="38" t="s">
        <v>500</v>
      </c>
      <c r="U142" s="38" t="s">
        <v>501</v>
      </c>
      <c r="V142" s="38">
        <v>125</v>
      </c>
      <c r="W142" s="38">
        <v>17</v>
      </c>
      <c r="X142" s="38">
        <v>4</v>
      </c>
      <c r="Y142" s="38">
        <v>8</v>
      </c>
      <c r="Z142" s="38">
        <v>4</v>
      </c>
      <c r="AB142" s="38">
        <f>SUM(V142:AA142)</f>
        <v>158</v>
      </c>
      <c r="AC142" s="85" t="s">
        <v>217</v>
      </c>
      <c r="AD142" s="85" t="s">
        <v>217</v>
      </c>
      <c r="AE142" s="85" t="s">
        <v>237</v>
      </c>
      <c r="AF142" s="38" t="s">
        <v>627</v>
      </c>
      <c r="AG142" s="38">
        <v>48309003706</v>
      </c>
      <c r="AH142" s="38" t="s">
        <v>124</v>
      </c>
      <c r="AI142" s="31">
        <v>7</v>
      </c>
      <c r="AJ142" s="31">
        <v>4.8</v>
      </c>
      <c r="AK142" s="36">
        <f>(92+88+92)/3</f>
        <v>90.66666666666667</v>
      </c>
      <c r="AL142" s="39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</row>
    <row r="143" spans="1:122" s="38" customFormat="1" ht="15" customHeight="1">
      <c r="A143" s="38">
        <v>16019</v>
      </c>
      <c r="B143" s="38" t="s">
        <v>502</v>
      </c>
      <c r="C143" s="38" t="s">
        <v>503</v>
      </c>
      <c r="D143" s="38" t="s">
        <v>504</v>
      </c>
      <c r="E143" s="38" t="s">
        <v>505</v>
      </c>
      <c r="F143" s="38">
        <v>76522</v>
      </c>
      <c r="G143" s="31">
        <v>8</v>
      </c>
      <c r="H143" s="31" t="s">
        <v>5</v>
      </c>
      <c r="I143" s="31"/>
      <c r="J143" s="31"/>
      <c r="K143" s="31"/>
      <c r="L143" s="38" t="s">
        <v>205</v>
      </c>
      <c r="M143" s="63">
        <v>84</v>
      </c>
      <c r="N143" s="63">
        <v>0</v>
      </c>
      <c r="O143" s="63">
        <v>84</v>
      </c>
      <c r="P143" s="38" t="s">
        <v>253</v>
      </c>
      <c r="Q143" s="64">
        <v>1262576</v>
      </c>
      <c r="R143" s="32"/>
      <c r="S143" s="32"/>
      <c r="T143" s="38" t="s">
        <v>179</v>
      </c>
      <c r="U143" s="38" t="s">
        <v>404</v>
      </c>
      <c r="V143" s="38">
        <v>124</v>
      </c>
      <c r="W143" s="38">
        <v>17</v>
      </c>
      <c r="X143" s="38">
        <v>4</v>
      </c>
      <c r="Y143" s="38">
        <v>8</v>
      </c>
      <c r="Z143" s="38">
        <v>4</v>
      </c>
      <c r="AB143" s="38">
        <f>SUM(V143:AA143)</f>
        <v>157</v>
      </c>
      <c r="AC143" s="85" t="s">
        <v>217</v>
      </c>
      <c r="AD143" s="85" t="s">
        <v>225</v>
      </c>
      <c r="AE143" s="85" t="s">
        <v>217</v>
      </c>
      <c r="AG143" s="38">
        <v>48099010803</v>
      </c>
      <c r="AH143" s="38" t="s">
        <v>124</v>
      </c>
      <c r="AI143" s="31">
        <v>7</v>
      </c>
      <c r="AJ143" s="31">
        <v>1.5</v>
      </c>
      <c r="AK143" s="36">
        <f>(85+80+83)/3</f>
        <v>82.66666666666667</v>
      </c>
      <c r="AL143" s="39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</row>
    <row r="144" spans="1:122" s="38" customFormat="1" ht="15" customHeight="1">
      <c r="A144" s="38">
        <v>16091</v>
      </c>
      <c r="B144" s="38" t="s">
        <v>506</v>
      </c>
      <c r="C144" s="38" t="s">
        <v>507</v>
      </c>
      <c r="D144" s="38" t="s">
        <v>508</v>
      </c>
      <c r="E144" s="38" t="s">
        <v>57</v>
      </c>
      <c r="F144" s="38">
        <v>76502</v>
      </c>
      <c r="G144" s="31">
        <v>8</v>
      </c>
      <c r="H144" s="31" t="s">
        <v>5</v>
      </c>
      <c r="I144" s="31"/>
      <c r="J144" s="31"/>
      <c r="K144" s="31"/>
      <c r="L144" s="38" t="s">
        <v>205</v>
      </c>
      <c r="M144" s="31">
        <v>76</v>
      </c>
      <c r="N144" s="31">
        <v>14</v>
      </c>
      <c r="O144" s="31">
        <v>90</v>
      </c>
      <c r="P144" s="38" t="s">
        <v>253</v>
      </c>
      <c r="Q144" s="64">
        <v>1134778</v>
      </c>
      <c r="R144" s="32"/>
      <c r="S144" s="32"/>
      <c r="T144" s="38" t="s">
        <v>509</v>
      </c>
      <c r="U144" s="38" t="s">
        <v>510</v>
      </c>
      <c r="V144" s="38">
        <v>124</v>
      </c>
      <c r="W144" s="38">
        <v>17</v>
      </c>
      <c r="X144" s="38">
        <v>4</v>
      </c>
      <c r="Y144" s="38">
        <v>8</v>
      </c>
      <c r="Z144" s="38">
        <v>4</v>
      </c>
      <c r="AB144" s="38">
        <f>SUM(V144:AA144)</f>
        <v>157</v>
      </c>
      <c r="AC144" s="85" t="s">
        <v>225</v>
      </c>
      <c r="AD144" s="85" t="s">
        <v>225</v>
      </c>
      <c r="AE144" s="85" t="s">
        <v>225</v>
      </c>
      <c r="AG144" s="38">
        <v>48027020300</v>
      </c>
      <c r="AH144" s="38" t="s">
        <v>124</v>
      </c>
      <c r="AI144" s="31">
        <v>7</v>
      </c>
      <c r="AJ144" s="31">
        <v>9</v>
      </c>
      <c r="AK144" s="36">
        <f>(87+78+81)/3</f>
        <v>82</v>
      </c>
      <c r="AL144" s="39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</row>
    <row r="145" spans="1:122" s="38" customFormat="1" ht="15" customHeight="1">
      <c r="A145" s="38">
        <v>16121</v>
      </c>
      <c r="B145" s="38" t="s">
        <v>511</v>
      </c>
      <c r="C145" s="38" t="s">
        <v>512</v>
      </c>
      <c r="D145" s="38" t="s">
        <v>180</v>
      </c>
      <c r="E145" s="38" t="s">
        <v>57</v>
      </c>
      <c r="F145" s="38">
        <v>76513</v>
      </c>
      <c r="G145" s="31">
        <v>8</v>
      </c>
      <c r="H145" s="31" t="s">
        <v>5</v>
      </c>
      <c r="I145" s="31"/>
      <c r="J145" s="31"/>
      <c r="K145" s="31"/>
      <c r="L145" s="38" t="s">
        <v>205</v>
      </c>
      <c r="M145" s="31">
        <v>60</v>
      </c>
      <c r="N145" s="31">
        <v>4</v>
      </c>
      <c r="O145" s="31">
        <v>64</v>
      </c>
      <c r="P145" s="38" t="s">
        <v>3</v>
      </c>
      <c r="Q145" s="64">
        <v>942720</v>
      </c>
      <c r="R145" s="32"/>
      <c r="S145" s="32"/>
      <c r="T145" s="38" t="s">
        <v>167</v>
      </c>
      <c r="U145" s="38" t="s">
        <v>513</v>
      </c>
      <c r="V145" s="38">
        <v>124</v>
      </c>
      <c r="W145" s="38">
        <v>17</v>
      </c>
      <c r="X145" s="38">
        <v>4</v>
      </c>
      <c r="Y145" s="38">
        <v>8</v>
      </c>
      <c r="Z145" s="38">
        <v>4</v>
      </c>
      <c r="AB145" s="38">
        <f>SUM(V145:AA145)</f>
        <v>157</v>
      </c>
      <c r="AC145" s="85" t="s">
        <v>225</v>
      </c>
      <c r="AD145" s="85" t="s">
        <v>225</v>
      </c>
      <c r="AE145" s="85" t="s">
        <v>225</v>
      </c>
      <c r="AG145" s="38">
        <v>48027021700</v>
      </c>
      <c r="AH145" s="38" t="s">
        <v>124</v>
      </c>
      <c r="AI145" s="31">
        <v>7</v>
      </c>
      <c r="AJ145" s="31">
        <v>14.7</v>
      </c>
      <c r="AK145" s="36">
        <f>(91+78+81)/3</f>
        <v>83.33333333333333</v>
      </c>
      <c r="AL145" s="39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</row>
    <row r="146" spans="1:122" s="130" customFormat="1" ht="15" outlineLevel="1">
      <c r="A146" s="41" t="s">
        <v>101</v>
      </c>
      <c r="B146" s="109"/>
      <c r="C146" s="54">
        <v>1350391.75</v>
      </c>
      <c r="D146" s="127"/>
      <c r="E146" s="127"/>
      <c r="F146" s="127"/>
      <c r="G146" s="127"/>
      <c r="H146" s="127"/>
      <c r="I146" s="128"/>
      <c r="J146" s="127"/>
      <c r="K146" s="127"/>
      <c r="L146" s="127"/>
      <c r="M146" s="55"/>
      <c r="N146" s="55"/>
      <c r="O146" s="55"/>
      <c r="P146" s="44" t="s">
        <v>84</v>
      </c>
      <c r="Q146" s="129">
        <f>SUM(Q142:Q145)</f>
        <v>4625027</v>
      </c>
      <c r="T146" s="127"/>
      <c r="U146" s="127"/>
      <c r="V146" s="127"/>
      <c r="W146" s="127"/>
      <c r="X146" s="127"/>
      <c r="Y146" s="127"/>
      <c r="Z146" s="127"/>
      <c r="AA146" s="127"/>
      <c r="AB146" s="38"/>
      <c r="AC146" s="85"/>
      <c r="AD146" s="85"/>
      <c r="AE146" s="85"/>
      <c r="AF146" s="113"/>
      <c r="AG146" s="127"/>
      <c r="AH146" s="131"/>
      <c r="AI146" s="131"/>
      <c r="AJ146" s="56"/>
      <c r="AK146" s="57"/>
      <c r="AL146" s="132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</row>
    <row r="147" spans="1:122" s="38" customFormat="1" ht="12" customHeight="1">
      <c r="A147" s="48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58"/>
      <c r="Q147" s="133"/>
      <c r="R147" s="134"/>
      <c r="S147" s="134"/>
      <c r="V147" s="31"/>
      <c r="AC147" s="85"/>
      <c r="AD147" s="85"/>
      <c r="AE147" s="85"/>
      <c r="AF147" s="113"/>
      <c r="AG147" s="59"/>
      <c r="AH147" s="31"/>
      <c r="AI147" s="31"/>
      <c r="AJ147" s="60"/>
      <c r="AK147" s="36"/>
      <c r="AL147" s="39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</row>
    <row r="148" spans="1:122" s="38" customFormat="1" ht="15" customHeight="1">
      <c r="A148" s="51" t="str">
        <f>CONCATENATE("Region ",G149,"/",H149)</f>
        <v>Region 9/Rural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135"/>
      <c r="R148" s="136"/>
      <c r="S148" s="136"/>
      <c r="V148" s="31"/>
      <c r="AC148" s="85"/>
      <c r="AD148" s="85"/>
      <c r="AE148" s="85"/>
      <c r="AF148" s="113"/>
      <c r="AG148" s="59"/>
      <c r="AH148" s="31"/>
      <c r="AI148" s="31"/>
      <c r="AJ148" s="60"/>
      <c r="AK148" s="36"/>
      <c r="AL148" s="39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</row>
    <row r="149" spans="1:122" s="38" customFormat="1" ht="15" customHeight="1">
      <c r="A149" s="38">
        <v>16164</v>
      </c>
      <c r="B149" s="38" t="s">
        <v>514</v>
      </c>
      <c r="C149" s="38" t="s">
        <v>515</v>
      </c>
      <c r="D149" s="38" t="s">
        <v>132</v>
      </c>
      <c r="E149" s="38" t="s">
        <v>133</v>
      </c>
      <c r="F149" s="38">
        <v>78028</v>
      </c>
      <c r="G149" s="31">
        <v>9</v>
      </c>
      <c r="H149" s="31" t="s">
        <v>1</v>
      </c>
      <c r="I149" s="31"/>
      <c r="J149" s="31"/>
      <c r="K149" s="31"/>
      <c r="L149" s="38" t="s">
        <v>205</v>
      </c>
      <c r="M149" s="31">
        <v>32</v>
      </c>
      <c r="N149" s="31">
        <v>4</v>
      </c>
      <c r="O149" s="31">
        <v>36</v>
      </c>
      <c r="P149" s="38" t="s">
        <v>253</v>
      </c>
      <c r="Q149" s="64">
        <v>465185</v>
      </c>
      <c r="R149" s="32" t="s">
        <v>107</v>
      </c>
      <c r="S149" s="32"/>
      <c r="T149" s="38" t="s">
        <v>50</v>
      </c>
      <c r="U149" s="38" t="s">
        <v>516</v>
      </c>
      <c r="V149" s="38">
        <v>125</v>
      </c>
      <c r="W149" s="38">
        <v>17</v>
      </c>
      <c r="X149" s="38">
        <v>4</v>
      </c>
      <c r="Y149" s="38">
        <v>8</v>
      </c>
      <c r="Z149" s="38">
        <v>4</v>
      </c>
      <c r="AB149" s="38">
        <f>SUM(V149:AA149)</f>
        <v>158</v>
      </c>
      <c r="AC149" s="85" t="s">
        <v>217</v>
      </c>
      <c r="AD149" s="85" t="s">
        <v>217</v>
      </c>
      <c r="AE149" s="85" t="s">
        <v>237</v>
      </c>
      <c r="AF149" s="38" t="s">
        <v>627</v>
      </c>
      <c r="AG149" s="38">
        <v>48265960700</v>
      </c>
      <c r="AH149" s="38" t="s">
        <v>124</v>
      </c>
      <c r="AI149" s="31">
        <v>7</v>
      </c>
      <c r="AJ149" s="31">
        <v>2.6</v>
      </c>
      <c r="AK149" s="36">
        <f>(88+81+85)/3</f>
        <v>84.66666666666667</v>
      </c>
      <c r="AL149" s="39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</row>
    <row r="150" spans="1:122" s="38" customFormat="1" ht="15" customHeight="1">
      <c r="A150" s="38">
        <v>16001</v>
      </c>
      <c r="B150" s="38" t="s">
        <v>181</v>
      </c>
      <c r="C150" s="38" t="s">
        <v>182</v>
      </c>
      <c r="D150" s="38" t="s">
        <v>183</v>
      </c>
      <c r="E150" s="38" t="s">
        <v>184</v>
      </c>
      <c r="F150" s="38">
        <v>78624</v>
      </c>
      <c r="G150" s="31">
        <v>9</v>
      </c>
      <c r="H150" s="31" t="s">
        <v>1</v>
      </c>
      <c r="I150" s="31"/>
      <c r="J150" s="31"/>
      <c r="K150" s="31"/>
      <c r="L150" s="38" t="s">
        <v>205</v>
      </c>
      <c r="M150" s="63">
        <v>64</v>
      </c>
      <c r="N150" s="63">
        <v>8</v>
      </c>
      <c r="O150" s="63">
        <v>72</v>
      </c>
      <c r="P150" s="38" t="s">
        <v>3</v>
      </c>
      <c r="Q150" s="64">
        <v>499999</v>
      </c>
      <c r="R150" s="32"/>
      <c r="S150" s="32"/>
      <c r="T150" s="38" t="s">
        <v>185</v>
      </c>
      <c r="U150" s="38" t="s">
        <v>58</v>
      </c>
      <c r="V150" s="38">
        <v>121</v>
      </c>
      <c r="W150" s="38">
        <v>17</v>
      </c>
      <c r="X150" s="38">
        <v>4</v>
      </c>
      <c r="Y150" s="38">
        <v>8</v>
      </c>
      <c r="Z150" s="38">
        <v>4</v>
      </c>
      <c r="AB150" s="38">
        <f>SUM(V150:AA150)</f>
        <v>154</v>
      </c>
      <c r="AC150" s="85" t="s">
        <v>217</v>
      </c>
      <c r="AD150" s="85" t="s">
        <v>225</v>
      </c>
      <c r="AE150" s="85" t="s">
        <v>237</v>
      </c>
      <c r="AG150" s="38">
        <v>48171950400</v>
      </c>
      <c r="AH150" s="38" t="s">
        <v>115</v>
      </c>
      <c r="AI150" s="31">
        <v>7</v>
      </c>
      <c r="AJ150" s="31">
        <v>13.6</v>
      </c>
      <c r="AK150" s="36">
        <f>(75+79+85)/3</f>
        <v>79.66666666666667</v>
      </c>
      <c r="AL150" s="39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</row>
    <row r="151" spans="1:122" s="130" customFormat="1" ht="15" outlineLevel="1">
      <c r="A151" s="41" t="s">
        <v>101</v>
      </c>
      <c r="B151" s="109"/>
      <c r="C151" s="54">
        <v>500000</v>
      </c>
      <c r="D151" s="127"/>
      <c r="E151" s="127"/>
      <c r="F151" s="127"/>
      <c r="G151" s="127"/>
      <c r="H151" s="127"/>
      <c r="I151" s="128"/>
      <c r="J151" s="127"/>
      <c r="K151" s="127"/>
      <c r="L151" s="127"/>
      <c r="M151" s="55"/>
      <c r="N151" s="55"/>
      <c r="O151" s="55"/>
      <c r="P151" s="44" t="s">
        <v>84</v>
      </c>
      <c r="Q151" s="129">
        <f>SUM(Q149:Q150)</f>
        <v>965184</v>
      </c>
      <c r="T151" s="127"/>
      <c r="U151" s="127"/>
      <c r="V151" s="127"/>
      <c r="W151" s="127"/>
      <c r="X151" s="127"/>
      <c r="Y151" s="127"/>
      <c r="Z151" s="127"/>
      <c r="AA151" s="127"/>
      <c r="AB151" s="38"/>
      <c r="AC151" s="85"/>
      <c r="AD151" s="85"/>
      <c r="AE151" s="85"/>
      <c r="AF151" s="113"/>
      <c r="AG151" s="127"/>
      <c r="AH151" s="131"/>
      <c r="AI151" s="131"/>
      <c r="AJ151" s="56"/>
      <c r="AK151" s="57"/>
      <c r="AL151" s="132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</row>
    <row r="152" spans="1:122" s="38" customFormat="1" ht="12" customHeight="1">
      <c r="A152" s="48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58"/>
      <c r="Q152" s="133"/>
      <c r="R152" s="134"/>
      <c r="S152" s="134"/>
      <c r="V152" s="31"/>
      <c r="AC152" s="85"/>
      <c r="AD152" s="85"/>
      <c r="AE152" s="85"/>
      <c r="AF152" s="113"/>
      <c r="AG152" s="59"/>
      <c r="AH152" s="31"/>
      <c r="AI152" s="31"/>
      <c r="AJ152" s="60"/>
      <c r="AK152" s="36"/>
      <c r="AL152" s="39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</row>
    <row r="153" spans="1:122" s="38" customFormat="1" ht="15" customHeight="1">
      <c r="A153" s="51" t="str">
        <f>CONCATENATE("Region ",G154,"/",H154)</f>
        <v>Region 9/Urban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135"/>
      <c r="R153" s="136"/>
      <c r="S153" s="136"/>
      <c r="V153" s="31"/>
      <c r="AC153" s="85"/>
      <c r="AD153" s="85"/>
      <c r="AE153" s="85"/>
      <c r="AF153" s="113"/>
      <c r="AG153" s="59"/>
      <c r="AH153" s="31"/>
      <c r="AI153" s="31"/>
      <c r="AJ153" s="60"/>
      <c r="AK153" s="36"/>
      <c r="AL153" s="39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</row>
    <row r="154" spans="1:122" s="38" customFormat="1" ht="15" customHeight="1">
      <c r="A154" s="38">
        <v>16128</v>
      </c>
      <c r="B154" s="38" t="s">
        <v>188</v>
      </c>
      <c r="C154" s="38" t="s">
        <v>517</v>
      </c>
      <c r="D154" s="38" t="s">
        <v>189</v>
      </c>
      <c r="E154" s="38" t="s">
        <v>190</v>
      </c>
      <c r="F154" s="38">
        <v>78108</v>
      </c>
      <c r="G154" s="31">
        <v>9</v>
      </c>
      <c r="H154" s="31" t="s">
        <v>5</v>
      </c>
      <c r="I154" s="31"/>
      <c r="J154" s="31"/>
      <c r="K154" s="31"/>
      <c r="L154" s="38" t="s">
        <v>205</v>
      </c>
      <c r="M154" s="31">
        <v>119</v>
      </c>
      <c r="N154" s="31">
        <v>17</v>
      </c>
      <c r="O154" s="31">
        <v>136</v>
      </c>
      <c r="P154" s="38" t="s">
        <v>253</v>
      </c>
      <c r="Q154" s="64">
        <v>1500000</v>
      </c>
      <c r="R154" s="32"/>
      <c r="S154" s="32"/>
      <c r="T154" s="38" t="s">
        <v>20</v>
      </c>
      <c r="U154" s="38" t="s">
        <v>158</v>
      </c>
      <c r="V154" s="38">
        <v>125</v>
      </c>
      <c r="W154" s="38">
        <v>17</v>
      </c>
      <c r="X154" s="38">
        <v>4</v>
      </c>
      <c r="Y154" s="38">
        <v>8</v>
      </c>
      <c r="Z154" s="38">
        <v>4</v>
      </c>
      <c r="AB154" s="38">
        <f>SUM(V154:AA154)</f>
        <v>158</v>
      </c>
      <c r="AC154" s="85" t="s">
        <v>217</v>
      </c>
      <c r="AD154" s="85" t="s">
        <v>217</v>
      </c>
      <c r="AE154" s="85" t="s">
        <v>237</v>
      </c>
      <c r="AF154" s="38" t="s">
        <v>627</v>
      </c>
      <c r="AG154" s="38">
        <v>48187210708</v>
      </c>
      <c r="AH154" s="38" t="s">
        <v>124</v>
      </c>
      <c r="AI154" s="31">
        <v>7</v>
      </c>
      <c r="AJ154" s="31">
        <v>1.9</v>
      </c>
      <c r="AK154" s="36">
        <f>(84+84+82)/3</f>
        <v>83.33333333333333</v>
      </c>
      <c r="AL154" s="39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</row>
    <row r="155" spans="1:122" s="38" customFormat="1" ht="15" customHeight="1">
      <c r="A155" s="38">
        <v>16204</v>
      </c>
      <c r="B155" s="38" t="s">
        <v>518</v>
      </c>
      <c r="C155" s="38" t="s">
        <v>519</v>
      </c>
      <c r="D155" s="38" t="s">
        <v>520</v>
      </c>
      <c r="E155" s="38" t="s">
        <v>190</v>
      </c>
      <c r="F155" s="38">
        <v>78154</v>
      </c>
      <c r="G155" s="31">
        <v>9</v>
      </c>
      <c r="H155" s="31" t="s">
        <v>5</v>
      </c>
      <c r="I155" s="31"/>
      <c r="J155" s="31"/>
      <c r="K155" s="31"/>
      <c r="L155" s="38" t="s">
        <v>205</v>
      </c>
      <c r="M155" s="31">
        <v>77</v>
      </c>
      <c r="N155" s="31">
        <v>19</v>
      </c>
      <c r="O155" s="31">
        <v>96</v>
      </c>
      <c r="P155" s="38" t="s">
        <v>3</v>
      </c>
      <c r="Q155" s="64">
        <v>1331000</v>
      </c>
      <c r="R155" s="32"/>
      <c r="S155" s="32"/>
      <c r="T155" s="38" t="s">
        <v>51</v>
      </c>
      <c r="U155" s="38" t="s">
        <v>459</v>
      </c>
      <c r="V155" s="38">
        <v>125</v>
      </c>
      <c r="W155" s="38">
        <v>17</v>
      </c>
      <c r="X155" s="38">
        <v>4</v>
      </c>
      <c r="Y155" s="38">
        <v>8</v>
      </c>
      <c r="Z155" s="38">
        <v>4</v>
      </c>
      <c r="AB155" s="38">
        <f>SUM(V155:AA155)</f>
        <v>158</v>
      </c>
      <c r="AC155" s="85" t="s">
        <v>217</v>
      </c>
      <c r="AD155" s="85" t="s">
        <v>217</v>
      </c>
      <c r="AE155" s="85" t="s">
        <v>237</v>
      </c>
      <c r="AF155" s="38" t="s">
        <v>627</v>
      </c>
      <c r="AG155" s="38">
        <v>48187210709</v>
      </c>
      <c r="AH155" s="38" t="s">
        <v>124</v>
      </c>
      <c r="AI155" s="31">
        <v>7</v>
      </c>
      <c r="AJ155" s="31">
        <v>3.5</v>
      </c>
      <c r="AK155" s="36">
        <f>(84+84+82)/3</f>
        <v>83.33333333333333</v>
      </c>
      <c r="AL155" s="39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</row>
    <row r="156" spans="1:122" s="38" customFormat="1" ht="15" customHeight="1">
      <c r="A156" s="38">
        <v>16061</v>
      </c>
      <c r="B156" s="38" t="s">
        <v>521</v>
      </c>
      <c r="C156" s="38" t="s">
        <v>522</v>
      </c>
      <c r="D156" s="38" t="s">
        <v>7</v>
      </c>
      <c r="E156" s="38" t="s">
        <v>8</v>
      </c>
      <c r="F156" s="38">
        <v>78251</v>
      </c>
      <c r="G156" s="31">
        <v>9</v>
      </c>
      <c r="H156" s="31" t="s">
        <v>5</v>
      </c>
      <c r="I156" s="31"/>
      <c r="J156" s="31"/>
      <c r="K156" s="31" t="s">
        <v>107</v>
      </c>
      <c r="L156" s="38" t="s">
        <v>205</v>
      </c>
      <c r="M156" s="31">
        <v>82</v>
      </c>
      <c r="N156" s="31">
        <v>8</v>
      </c>
      <c r="O156" s="31">
        <v>90</v>
      </c>
      <c r="P156" s="38" t="s">
        <v>3</v>
      </c>
      <c r="Q156" s="64">
        <v>1455350</v>
      </c>
      <c r="R156" s="32"/>
      <c r="S156" s="61" t="s">
        <v>107</v>
      </c>
      <c r="T156" s="38" t="s">
        <v>125</v>
      </c>
      <c r="U156" s="38" t="s">
        <v>186</v>
      </c>
      <c r="V156" s="38">
        <v>124</v>
      </c>
      <c r="W156" s="38">
        <v>17</v>
      </c>
      <c r="X156" s="38">
        <v>4</v>
      </c>
      <c r="Y156" s="38">
        <v>8</v>
      </c>
      <c r="Z156" s="38">
        <v>4</v>
      </c>
      <c r="AB156" s="38">
        <f>SUM(V156:AA156)</f>
        <v>157</v>
      </c>
      <c r="AC156" s="85" t="s">
        <v>217</v>
      </c>
      <c r="AD156" s="85" t="s">
        <v>217</v>
      </c>
      <c r="AE156" s="85" t="s">
        <v>217</v>
      </c>
      <c r="AF156" s="38" t="s">
        <v>627</v>
      </c>
      <c r="AG156" s="38">
        <v>48029171912</v>
      </c>
      <c r="AH156" s="38" t="s">
        <v>124</v>
      </c>
      <c r="AI156" s="31">
        <v>7</v>
      </c>
      <c r="AJ156" s="31">
        <v>1.6</v>
      </c>
      <c r="AK156" s="36">
        <f>(83+79+87)/3</f>
        <v>83</v>
      </c>
      <c r="AL156" s="108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</row>
    <row r="157" spans="1:122" s="38" customFormat="1" ht="15" customHeight="1">
      <c r="A157" s="38">
        <v>16326</v>
      </c>
      <c r="B157" s="38" t="s">
        <v>523</v>
      </c>
      <c r="C157" s="38" t="s">
        <v>524</v>
      </c>
      <c r="D157" s="38" t="s">
        <v>7</v>
      </c>
      <c r="E157" s="38" t="s">
        <v>8</v>
      </c>
      <c r="F157" s="38">
        <v>78254</v>
      </c>
      <c r="G157" s="31">
        <v>9</v>
      </c>
      <c r="H157" s="31" t="s">
        <v>5</v>
      </c>
      <c r="I157" s="31"/>
      <c r="J157" s="31"/>
      <c r="K157" s="31"/>
      <c r="L157" s="38" t="s">
        <v>205</v>
      </c>
      <c r="M157" s="31">
        <v>71</v>
      </c>
      <c r="N157" s="31">
        <v>10</v>
      </c>
      <c r="O157" s="31">
        <v>81</v>
      </c>
      <c r="P157" s="38" t="s">
        <v>3</v>
      </c>
      <c r="Q157" s="64">
        <v>1331023</v>
      </c>
      <c r="R157" s="32"/>
      <c r="S157" s="32"/>
      <c r="T157" s="38" t="s">
        <v>80</v>
      </c>
      <c r="U157" s="38" t="s">
        <v>177</v>
      </c>
      <c r="V157" s="38">
        <v>124</v>
      </c>
      <c r="W157" s="38">
        <v>17</v>
      </c>
      <c r="X157" s="38">
        <v>4</v>
      </c>
      <c r="Y157" s="38">
        <v>8</v>
      </c>
      <c r="Z157" s="38">
        <v>4</v>
      </c>
      <c r="AB157" s="38">
        <f>SUM(V157:AA157)</f>
        <v>157</v>
      </c>
      <c r="AC157" s="85" t="s">
        <v>225</v>
      </c>
      <c r="AD157" s="85" t="s">
        <v>225</v>
      </c>
      <c r="AE157" s="85" t="s">
        <v>225</v>
      </c>
      <c r="AG157" s="38">
        <v>48029181724</v>
      </c>
      <c r="AH157" s="38" t="s">
        <v>124</v>
      </c>
      <c r="AI157" s="31">
        <v>7</v>
      </c>
      <c r="AJ157" s="31">
        <v>3</v>
      </c>
      <c r="AK157" s="36">
        <f>(90+88+90)/3</f>
        <v>89.33333333333333</v>
      </c>
      <c r="AL157" s="70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</row>
    <row r="158" spans="1:122" s="38" customFormat="1" ht="15" customHeight="1">
      <c r="A158" s="38">
        <v>16056</v>
      </c>
      <c r="B158" s="38" t="s">
        <v>144</v>
      </c>
      <c r="C158" s="38" t="s">
        <v>525</v>
      </c>
      <c r="D158" s="38" t="s">
        <v>7</v>
      </c>
      <c r="E158" s="38" t="s">
        <v>8</v>
      </c>
      <c r="F158" s="38">
        <v>78250</v>
      </c>
      <c r="G158" s="31">
        <v>9</v>
      </c>
      <c r="H158" s="31" t="s">
        <v>5</v>
      </c>
      <c r="I158" s="31"/>
      <c r="J158" s="31"/>
      <c r="K158" s="31" t="s">
        <v>107</v>
      </c>
      <c r="L158" s="38" t="s">
        <v>205</v>
      </c>
      <c r="M158" s="31">
        <v>82</v>
      </c>
      <c r="N158" s="31">
        <v>8</v>
      </c>
      <c r="O158" s="31">
        <v>90</v>
      </c>
      <c r="P158" s="38" t="s">
        <v>3</v>
      </c>
      <c r="Q158" s="64">
        <v>1500000</v>
      </c>
      <c r="R158" s="32"/>
      <c r="S158" s="32"/>
      <c r="T158" s="38" t="s">
        <v>526</v>
      </c>
      <c r="U158" s="38" t="s">
        <v>186</v>
      </c>
      <c r="V158" s="38">
        <v>124</v>
      </c>
      <c r="W158" s="38">
        <v>17</v>
      </c>
      <c r="X158" s="38">
        <v>4</v>
      </c>
      <c r="Y158" s="38">
        <v>8</v>
      </c>
      <c r="Z158" s="38">
        <v>4</v>
      </c>
      <c r="AB158" s="38">
        <f>SUM(V158:AA158)</f>
        <v>157</v>
      </c>
      <c r="AC158" s="85" t="s">
        <v>225</v>
      </c>
      <c r="AD158" s="85" t="s">
        <v>225</v>
      </c>
      <c r="AE158" s="85" t="s">
        <v>225</v>
      </c>
      <c r="AG158" s="38">
        <v>48029181711</v>
      </c>
      <c r="AH158" s="38" t="s">
        <v>124</v>
      </c>
      <c r="AI158" s="31">
        <v>7</v>
      </c>
      <c r="AJ158" s="31">
        <v>9.4</v>
      </c>
      <c r="AK158" s="36">
        <f>(90+79+87)/3</f>
        <v>85.33333333333333</v>
      </c>
      <c r="AL158" s="108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</row>
    <row r="159" spans="1:122" s="130" customFormat="1" ht="15" outlineLevel="1">
      <c r="A159" s="41" t="s">
        <v>101</v>
      </c>
      <c r="B159" s="109"/>
      <c r="C159" s="54">
        <v>4523035.06</v>
      </c>
      <c r="D159" s="125" t="s">
        <v>527</v>
      </c>
      <c r="E159" s="127"/>
      <c r="F159" s="127"/>
      <c r="G159" s="127"/>
      <c r="H159" s="127"/>
      <c r="I159" s="128"/>
      <c r="J159" s="127"/>
      <c r="K159" s="127"/>
      <c r="L159" s="127"/>
      <c r="M159" s="55"/>
      <c r="N159" s="55"/>
      <c r="O159" s="55"/>
      <c r="P159" s="44" t="s">
        <v>84</v>
      </c>
      <c r="Q159" s="129">
        <f>SUM(Q154:Q158)</f>
        <v>7117373</v>
      </c>
      <c r="T159" s="127"/>
      <c r="U159" s="127"/>
      <c r="V159" s="127"/>
      <c r="W159" s="127"/>
      <c r="X159" s="127"/>
      <c r="Y159" s="127"/>
      <c r="Z159" s="127"/>
      <c r="AA159" s="127"/>
      <c r="AB159" s="38"/>
      <c r="AC159" s="85"/>
      <c r="AD159" s="85"/>
      <c r="AE159" s="85"/>
      <c r="AF159" s="113"/>
      <c r="AG159" s="127"/>
      <c r="AH159" s="131"/>
      <c r="AI159" s="131"/>
      <c r="AJ159" s="56"/>
      <c r="AK159" s="57"/>
      <c r="AL159" s="132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</row>
    <row r="160" spans="1:122" s="38" customFormat="1" ht="12" customHeight="1">
      <c r="A160" s="48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58"/>
      <c r="Q160" s="133"/>
      <c r="R160" s="134"/>
      <c r="S160" s="134"/>
      <c r="V160" s="31"/>
      <c r="AC160" s="85"/>
      <c r="AD160" s="85"/>
      <c r="AE160" s="85"/>
      <c r="AF160" s="113"/>
      <c r="AG160" s="59"/>
      <c r="AH160" s="31"/>
      <c r="AI160" s="31"/>
      <c r="AJ160" s="60"/>
      <c r="AK160" s="36"/>
      <c r="AL160" s="39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</row>
    <row r="161" spans="1:122" s="38" customFormat="1" ht="15" customHeight="1">
      <c r="A161" s="51" t="str">
        <f>CONCATENATE("Region ",G162,"/",H162)</f>
        <v>Region 10/Rural</v>
      </c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135"/>
      <c r="R161" s="136"/>
      <c r="S161" s="136"/>
      <c r="V161" s="31"/>
      <c r="AC161" s="85"/>
      <c r="AD161" s="85"/>
      <c r="AE161" s="85"/>
      <c r="AF161" s="113"/>
      <c r="AG161" s="59"/>
      <c r="AH161" s="31"/>
      <c r="AI161" s="31"/>
      <c r="AJ161" s="60"/>
      <c r="AK161" s="36"/>
      <c r="AL161" s="39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</row>
    <row r="162" spans="1:122" s="38" customFormat="1" ht="15" customHeight="1">
      <c r="A162" s="38">
        <v>16049</v>
      </c>
      <c r="B162" s="38" t="s">
        <v>528</v>
      </c>
      <c r="C162" s="38" t="s">
        <v>529</v>
      </c>
      <c r="D162" s="38" t="s">
        <v>530</v>
      </c>
      <c r="E162" s="38" t="s">
        <v>38</v>
      </c>
      <c r="F162" s="38">
        <v>78343</v>
      </c>
      <c r="G162" s="31">
        <v>10</v>
      </c>
      <c r="H162" s="31" t="s">
        <v>1</v>
      </c>
      <c r="I162" s="31"/>
      <c r="J162" s="31"/>
      <c r="K162" s="31"/>
      <c r="L162" s="38" t="s">
        <v>205</v>
      </c>
      <c r="M162" s="31">
        <v>60</v>
      </c>
      <c r="N162" s="31">
        <v>0</v>
      </c>
      <c r="O162" s="31">
        <v>60</v>
      </c>
      <c r="P162" s="38" t="s">
        <v>3</v>
      </c>
      <c r="Q162" s="64">
        <v>825328</v>
      </c>
      <c r="R162" s="32"/>
      <c r="S162" s="61" t="s">
        <v>107</v>
      </c>
      <c r="T162" s="38" t="s">
        <v>531</v>
      </c>
      <c r="U162" s="38" t="s">
        <v>532</v>
      </c>
      <c r="V162" s="38">
        <v>120</v>
      </c>
      <c r="W162" s="38">
        <v>8.5</v>
      </c>
      <c r="X162" s="38">
        <v>4</v>
      </c>
      <c r="Y162" s="38">
        <v>8</v>
      </c>
      <c r="Z162" s="38">
        <v>4</v>
      </c>
      <c r="AB162" s="38">
        <f>SUM(V162:AA162)</f>
        <v>144.5</v>
      </c>
      <c r="AC162" s="85" t="s">
        <v>217</v>
      </c>
      <c r="AD162" s="85" t="s">
        <v>217</v>
      </c>
      <c r="AE162" s="85" t="s">
        <v>237</v>
      </c>
      <c r="AF162" s="38" t="s">
        <v>627</v>
      </c>
      <c r="AG162" s="38">
        <v>48355006000</v>
      </c>
      <c r="AH162" s="38" t="s">
        <v>112</v>
      </c>
      <c r="AI162" s="31">
        <v>7</v>
      </c>
      <c r="AJ162" s="31">
        <v>8.4</v>
      </c>
      <c r="AK162" s="36">
        <f>(83+77+86)/3</f>
        <v>82</v>
      </c>
      <c r="AL162" s="39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</row>
    <row r="163" spans="1:122" s="130" customFormat="1" ht="15" outlineLevel="1">
      <c r="A163" s="41" t="s">
        <v>101</v>
      </c>
      <c r="B163" s="109"/>
      <c r="C163" s="54">
        <v>572771.07</v>
      </c>
      <c r="D163" s="127"/>
      <c r="E163" s="127"/>
      <c r="F163" s="127"/>
      <c r="G163" s="127"/>
      <c r="H163" s="127"/>
      <c r="I163" s="128"/>
      <c r="J163" s="127"/>
      <c r="K163" s="127"/>
      <c r="L163" s="127"/>
      <c r="M163" s="55"/>
      <c r="N163" s="55"/>
      <c r="O163" s="55"/>
      <c r="P163" s="44" t="s">
        <v>84</v>
      </c>
      <c r="Q163" s="129">
        <f>Q162</f>
        <v>825328</v>
      </c>
      <c r="T163" s="127"/>
      <c r="U163" s="127"/>
      <c r="V163" s="127"/>
      <c r="W163" s="127"/>
      <c r="X163" s="127"/>
      <c r="Y163" s="127"/>
      <c r="Z163" s="127"/>
      <c r="AA163" s="127"/>
      <c r="AB163" s="38"/>
      <c r="AC163" s="85"/>
      <c r="AD163" s="85"/>
      <c r="AE163" s="85"/>
      <c r="AF163" s="113"/>
      <c r="AG163" s="127"/>
      <c r="AH163" s="131"/>
      <c r="AI163" s="131"/>
      <c r="AJ163" s="56"/>
      <c r="AK163" s="57"/>
      <c r="AL163" s="132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</row>
    <row r="164" spans="1:122" s="38" customFormat="1" ht="12" customHeight="1">
      <c r="A164" s="48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58"/>
      <c r="Q164" s="133"/>
      <c r="R164" s="134"/>
      <c r="S164" s="134"/>
      <c r="V164" s="31"/>
      <c r="AC164" s="85"/>
      <c r="AD164" s="85"/>
      <c r="AE164" s="85"/>
      <c r="AF164" s="113"/>
      <c r="AG164" s="59"/>
      <c r="AH164" s="31"/>
      <c r="AI164" s="31"/>
      <c r="AJ164" s="60"/>
      <c r="AK164" s="36"/>
      <c r="AL164" s="39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</row>
    <row r="165" spans="1:122" s="38" customFormat="1" ht="15" customHeight="1">
      <c r="A165" s="51" t="str">
        <f>CONCATENATE("Region ",G166,"/",H166)</f>
        <v>Region 10/Urban</v>
      </c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135"/>
      <c r="R165" s="136"/>
      <c r="S165" s="136"/>
      <c r="V165" s="31"/>
      <c r="AC165" s="85"/>
      <c r="AD165" s="85"/>
      <c r="AE165" s="85"/>
      <c r="AF165" s="113"/>
      <c r="AG165" s="59"/>
      <c r="AH165" s="31"/>
      <c r="AI165" s="31"/>
      <c r="AJ165" s="60"/>
      <c r="AK165" s="36"/>
      <c r="AL165" s="39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</row>
    <row r="166" spans="1:122" s="38" customFormat="1" ht="15">
      <c r="A166" s="38">
        <v>16343</v>
      </c>
      <c r="B166" s="38" t="s">
        <v>533</v>
      </c>
      <c r="C166" s="38" t="s">
        <v>534</v>
      </c>
      <c r="D166" s="38" t="s">
        <v>37</v>
      </c>
      <c r="E166" s="38" t="s">
        <v>38</v>
      </c>
      <c r="F166" s="38">
        <v>78410</v>
      </c>
      <c r="G166" s="31">
        <v>10</v>
      </c>
      <c r="H166" s="31" t="s">
        <v>5</v>
      </c>
      <c r="I166" s="31"/>
      <c r="J166" s="31"/>
      <c r="K166" s="31" t="s">
        <v>107</v>
      </c>
      <c r="L166" s="38" t="s">
        <v>205</v>
      </c>
      <c r="M166" s="31">
        <v>82</v>
      </c>
      <c r="N166" s="31">
        <v>14</v>
      </c>
      <c r="O166" s="31">
        <v>96</v>
      </c>
      <c r="P166" s="38" t="s">
        <v>3</v>
      </c>
      <c r="Q166" s="64">
        <v>1218000</v>
      </c>
      <c r="R166" s="32"/>
      <c r="S166" s="61" t="s">
        <v>107</v>
      </c>
      <c r="T166" s="38" t="s">
        <v>187</v>
      </c>
      <c r="U166" s="38" t="s">
        <v>125</v>
      </c>
      <c r="V166" s="38">
        <v>124</v>
      </c>
      <c r="W166" s="38">
        <v>17</v>
      </c>
      <c r="X166" s="38">
        <v>4</v>
      </c>
      <c r="Y166" s="38">
        <v>8</v>
      </c>
      <c r="Z166" s="38">
        <v>4</v>
      </c>
      <c r="AB166" s="38">
        <f>SUM(V166:AA166)</f>
        <v>157</v>
      </c>
      <c r="AC166" s="85" t="s">
        <v>217</v>
      </c>
      <c r="AD166" s="85" t="s">
        <v>217</v>
      </c>
      <c r="AE166" s="85" t="s">
        <v>237</v>
      </c>
      <c r="AF166" s="38" t="s">
        <v>627</v>
      </c>
      <c r="AG166" s="38">
        <v>48355005801</v>
      </c>
      <c r="AH166" s="38" t="s">
        <v>124</v>
      </c>
      <c r="AI166" s="31">
        <v>7</v>
      </c>
      <c r="AJ166" s="31">
        <v>5.5</v>
      </c>
      <c r="AK166" s="36">
        <f>(89+85+91)/3</f>
        <v>88.33333333333333</v>
      </c>
      <c r="AL166" s="39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</row>
    <row r="167" spans="1:122" s="38" customFormat="1" ht="15">
      <c r="A167" s="38">
        <v>16374</v>
      </c>
      <c r="B167" s="38" t="s">
        <v>535</v>
      </c>
      <c r="C167" s="38" t="s">
        <v>536</v>
      </c>
      <c r="D167" s="38" t="s">
        <v>37</v>
      </c>
      <c r="E167" s="38" t="s">
        <v>38</v>
      </c>
      <c r="F167" s="38">
        <v>78410</v>
      </c>
      <c r="G167" s="31">
        <v>10</v>
      </c>
      <c r="H167" s="31" t="s">
        <v>5</v>
      </c>
      <c r="I167" s="31"/>
      <c r="J167" s="31"/>
      <c r="K167" s="31"/>
      <c r="L167" s="38" t="s">
        <v>205</v>
      </c>
      <c r="M167" s="31">
        <v>84</v>
      </c>
      <c r="N167" s="31">
        <v>18</v>
      </c>
      <c r="O167" s="31">
        <v>102</v>
      </c>
      <c r="P167" s="38" t="s">
        <v>253</v>
      </c>
      <c r="Q167" s="64">
        <v>1218098</v>
      </c>
      <c r="R167" s="32"/>
      <c r="S167" s="32"/>
      <c r="T167" s="38" t="s">
        <v>79</v>
      </c>
      <c r="U167" s="38" t="s">
        <v>537</v>
      </c>
      <c r="V167" s="38">
        <v>124</v>
      </c>
      <c r="W167" s="38">
        <v>17</v>
      </c>
      <c r="X167" s="38">
        <v>4</v>
      </c>
      <c r="Y167" s="38">
        <v>8</v>
      </c>
      <c r="Z167" s="38">
        <v>4</v>
      </c>
      <c r="AB167" s="38">
        <f>SUM(V167:AA167)</f>
        <v>157</v>
      </c>
      <c r="AC167" s="85" t="s">
        <v>217</v>
      </c>
      <c r="AD167" s="85" t="s">
        <v>225</v>
      </c>
      <c r="AE167" s="85" t="s">
        <v>237</v>
      </c>
      <c r="AG167" s="38">
        <v>48355003601</v>
      </c>
      <c r="AH167" s="38" t="s">
        <v>124</v>
      </c>
      <c r="AI167" s="31">
        <v>7</v>
      </c>
      <c r="AJ167" s="31">
        <v>12</v>
      </c>
      <c r="AK167" s="36">
        <f>(89+85+91)/3</f>
        <v>88.33333333333333</v>
      </c>
      <c r="AL167" s="39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</row>
    <row r="168" spans="1:122" s="130" customFormat="1" ht="15" outlineLevel="1">
      <c r="A168" s="41" t="s">
        <v>101</v>
      </c>
      <c r="B168" s="109"/>
      <c r="C168" s="54">
        <v>1270584.62</v>
      </c>
      <c r="D168" s="127"/>
      <c r="E168" s="127"/>
      <c r="F168" s="127"/>
      <c r="G168" s="127"/>
      <c r="H168" s="127"/>
      <c r="I168" s="128"/>
      <c r="J168" s="127"/>
      <c r="K168" s="127"/>
      <c r="L168" s="127"/>
      <c r="M168" s="55"/>
      <c r="N168" s="55"/>
      <c r="O168" s="55"/>
      <c r="P168" s="44" t="s">
        <v>84</v>
      </c>
      <c r="Q168" s="129">
        <f>SUM(Q166:Q167)</f>
        <v>2436098</v>
      </c>
      <c r="T168" s="127"/>
      <c r="U168" s="127"/>
      <c r="V168" s="127"/>
      <c r="W168" s="127"/>
      <c r="X168" s="127"/>
      <c r="Y168" s="127"/>
      <c r="Z168" s="127"/>
      <c r="AA168" s="127"/>
      <c r="AB168" s="38"/>
      <c r="AC168" s="85"/>
      <c r="AD168" s="85"/>
      <c r="AE168" s="85"/>
      <c r="AF168" s="113"/>
      <c r="AG168" s="127"/>
      <c r="AH168" s="131"/>
      <c r="AI168" s="131"/>
      <c r="AJ168" s="56"/>
      <c r="AK168" s="57"/>
      <c r="AL168" s="132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</row>
    <row r="169" spans="1:122" s="38" customFormat="1" ht="12" customHeight="1">
      <c r="A169" s="48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58"/>
      <c r="Q169" s="133"/>
      <c r="R169" s="134"/>
      <c r="S169" s="134"/>
      <c r="V169" s="31"/>
      <c r="AC169" s="85"/>
      <c r="AD169" s="85"/>
      <c r="AE169" s="85"/>
      <c r="AF169" s="113"/>
      <c r="AG169" s="59"/>
      <c r="AH169" s="31"/>
      <c r="AI169" s="31"/>
      <c r="AJ169" s="60"/>
      <c r="AK169" s="36"/>
      <c r="AL169" s="39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</row>
    <row r="170" spans="1:122" s="38" customFormat="1" ht="15" customHeight="1">
      <c r="A170" s="51" t="str">
        <f>CONCATENATE("Region ",G171,"/",H171)</f>
        <v>Region 11/Rural</v>
      </c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135"/>
      <c r="R170" s="136"/>
      <c r="S170" s="136"/>
      <c r="V170" s="31"/>
      <c r="AC170" s="85"/>
      <c r="AD170" s="85"/>
      <c r="AE170" s="85"/>
      <c r="AF170" s="113"/>
      <c r="AG170" s="59"/>
      <c r="AH170" s="31"/>
      <c r="AI170" s="31"/>
      <c r="AJ170" s="60"/>
      <c r="AK170" s="36"/>
      <c r="AL170" s="39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</row>
    <row r="171" spans="1:122" s="38" customFormat="1" ht="15">
      <c r="A171" s="38">
        <v>16117</v>
      </c>
      <c r="B171" s="38" t="s">
        <v>191</v>
      </c>
      <c r="C171" s="38" t="s">
        <v>538</v>
      </c>
      <c r="D171" s="38" t="s">
        <v>192</v>
      </c>
      <c r="E171" s="38" t="s">
        <v>22</v>
      </c>
      <c r="F171" s="38">
        <v>78566</v>
      </c>
      <c r="G171" s="31">
        <v>11</v>
      </c>
      <c r="H171" s="31" t="s">
        <v>1</v>
      </c>
      <c r="I171" s="31"/>
      <c r="J171" s="31"/>
      <c r="K171" s="31"/>
      <c r="L171" s="38" t="s">
        <v>205</v>
      </c>
      <c r="M171" s="31">
        <v>64</v>
      </c>
      <c r="N171" s="31">
        <v>16</v>
      </c>
      <c r="O171" s="31">
        <v>80</v>
      </c>
      <c r="P171" s="38" t="s">
        <v>3</v>
      </c>
      <c r="Q171" s="64">
        <v>875697</v>
      </c>
      <c r="R171" s="32"/>
      <c r="S171" s="61" t="s">
        <v>107</v>
      </c>
      <c r="T171" s="38" t="s">
        <v>131</v>
      </c>
      <c r="U171" s="38" t="s">
        <v>539</v>
      </c>
      <c r="V171" s="38">
        <v>125</v>
      </c>
      <c r="W171" s="38">
        <v>17</v>
      </c>
      <c r="X171" s="38">
        <v>4</v>
      </c>
      <c r="Y171" s="38">
        <v>8</v>
      </c>
      <c r="Z171" s="38">
        <v>4</v>
      </c>
      <c r="AB171" s="38">
        <f>SUM(V171:AA171)</f>
        <v>158</v>
      </c>
      <c r="AC171" s="85" t="s">
        <v>217</v>
      </c>
      <c r="AD171" s="85" t="s">
        <v>217</v>
      </c>
      <c r="AE171" s="85" t="s">
        <v>237</v>
      </c>
      <c r="AF171" s="38" t="s">
        <v>627</v>
      </c>
      <c r="AG171" s="38">
        <v>48061012200</v>
      </c>
      <c r="AH171" s="38" t="s">
        <v>124</v>
      </c>
      <c r="AI171" s="31">
        <v>7</v>
      </c>
      <c r="AJ171" s="31">
        <v>29.3</v>
      </c>
      <c r="AK171" s="36">
        <f>(90+84+84)/3</f>
        <v>86</v>
      </c>
      <c r="AL171" s="39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</row>
    <row r="172" spans="1:122" s="38" customFormat="1" ht="15">
      <c r="A172" s="38">
        <v>16032</v>
      </c>
      <c r="B172" s="38" t="s">
        <v>540</v>
      </c>
      <c r="C172" s="38" t="s">
        <v>541</v>
      </c>
      <c r="D172" s="38" t="s">
        <v>542</v>
      </c>
      <c r="E172" s="38" t="s">
        <v>543</v>
      </c>
      <c r="F172" s="38">
        <v>78852</v>
      </c>
      <c r="G172" s="31">
        <v>11</v>
      </c>
      <c r="H172" s="31" t="s">
        <v>1</v>
      </c>
      <c r="I172" s="31"/>
      <c r="J172" s="31"/>
      <c r="K172" s="31"/>
      <c r="L172" s="38" t="s">
        <v>205</v>
      </c>
      <c r="M172" s="63">
        <v>64</v>
      </c>
      <c r="N172" s="63">
        <v>0</v>
      </c>
      <c r="O172" s="63">
        <v>64</v>
      </c>
      <c r="P172" s="38" t="s">
        <v>3</v>
      </c>
      <c r="Q172" s="64">
        <v>864200</v>
      </c>
      <c r="R172" s="32"/>
      <c r="S172" s="32"/>
      <c r="T172" s="38" t="s">
        <v>406</v>
      </c>
      <c r="U172" s="38" t="s">
        <v>407</v>
      </c>
      <c r="V172" s="38">
        <v>123</v>
      </c>
      <c r="W172" s="38">
        <v>17</v>
      </c>
      <c r="X172" s="38">
        <v>4</v>
      </c>
      <c r="Y172" s="38">
        <v>8</v>
      </c>
      <c r="Z172" s="38">
        <v>4</v>
      </c>
      <c r="AB172" s="38">
        <f>SUM(V172:AA172)</f>
        <v>156</v>
      </c>
      <c r="AC172" s="85" t="s">
        <v>217</v>
      </c>
      <c r="AD172" s="85" t="s">
        <v>225</v>
      </c>
      <c r="AE172" s="85" t="s">
        <v>237</v>
      </c>
      <c r="AG172" s="38">
        <v>48323950300</v>
      </c>
      <c r="AH172" s="38" t="s">
        <v>124</v>
      </c>
      <c r="AI172" s="31">
        <v>7</v>
      </c>
      <c r="AJ172" s="31">
        <v>18.1</v>
      </c>
      <c r="AK172" s="36">
        <f>(93+81+84)/3</f>
        <v>86</v>
      </c>
      <c r="AL172" s="70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</row>
    <row r="173" spans="1:122" s="38" customFormat="1" ht="15">
      <c r="A173" s="38">
        <v>16393</v>
      </c>
      <c r="B173" s="38" t="s">
        <v>544</v>
      </c>
      <c r="C173" s="38" t="s">
        <v>545</v>
      </c>
      <c r="D173" s="38" t="s">
        <v>546</v>
      </c>
      <c r="E173" s="38" t="s">
        <v>24</v>
      </c>
      <c r="F173" s="38">
        <v>78542</v>
      </c>
      <c r="G173" s="31">
        <v>11</v>
      </c>
      <c r="H173" s="31" t="s">
        <v>1</v>
      </c>
      <c r="I173" s="31"/>
      <c r="J173" s="31"/>
      <c r="K173" s="31" t="s">
        <v>107</v>
      </c>
      <c r="L173" s="38" t="s">
        <v>205</v>
      </c>
      <c r="M173" s="31">
        <v>80</v>
      </c>
      <c r="N173" s="31">
        <v>0</v>
      </c>
      <c r="O173" s="31">
        <v>80</v>
      </c>
      <c r="P173" s="38" t="s">
        <v>3</v>
      </c>
      <c r="Q173" s="64">
        <v>880000</v>
      </c>
      <c r="R173" s="32"/>
      <c r="S173" s="61" t="s">
        <v>107</v>
      </c>
      <c r="T173" s="38" t="s">
        <v>547</v>
      </c>
      <c r="U173" s="38" t="s">
        <v>548</v>
      </c>
      <c r="V173" s="38">
        <v>120</v>
      </c>
      <c r="W173" s="38">
        <v>17</v>
      </c>
      <c r="X173" s="38">
        <v>4</v>
      </c>
      <c r="Y173" s="38">
        <v>8</v>
      </c>
      <c r="Z173" s="38">
        <v>4</v>
      </c>
      <c r="AB173" s="38">
        <f>SUM(V173:AA173)</f>
        <v>153</v>
      </c>
      <c r="AC173" s="85" t="s">
        <v>217</v>
      </c>
      <c r="AD173" s="85" t="s">
        <v>225</v>
      </c>
      <c r="AE173" s="85" t="s">
        <v>237</v>
      </c>
      <c r="AG173" s="38">
        <v>48215024402</v>
      </c>
      <c r="AH173" s="38" t="s">
        <v>115</v>
      </c>
      <c r="AI173" s="31">
        <v>7</v>
      </c>
      <c r="AJ173" s="31">
        <v>38.6</v>
      </c>
      <c r="AK173" s="36">
        <f>(79+70+73)/3</f>
        <v>74</v>
      </c>
      <c r="AL173" s="70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</row>
    <row r="174" spans="1:122" s="130" customFormat="1" ht="15" outlineLevel="1">
      <c r="A174" s="41" t="s">
        <v>101</v>
      </c>
      <c r="B174" s="109"/>
      <c r="C174" s="54">
        <v>918821.91</v>
      </c>
      <c r="D174" s="127"/>
      <c r="E174" s="127"/>
      <c r="F174" s="127"/>
      <c r="G174" s="127"/>
      <c r="H174" s="127"/>
      <c r="I174" s="128"/>
      <c r="J174" s="127"/>
      <c r="K174" s="127"/>
      <c r="L174" s="127"/>
      <c r="M174" s="55"/>
      <c r="N174" s="55"/>
      <c r="O174" s="55"/>
      <c r="P174" s="44" t="s">
        <v>84</v>
      </c>
      <c r="Q174" s="129">
        <f>SUM(Q171:Q173)</f>
        <v>2619897</v>
      </c>
      <c r="T174" s="127"/>
      <c r="U174" s="127"/>
      <c r="V174" s="127"/>
      <c r="W174" s="127"/>
      <c r="X174" s="127"/>
      <c r="Y174" s="127"/>
      <c r="Z174" s="127"/>
      <c r="AA174" s="127"/>
      <c r="AB174" s="38"/>
      <c r="AC174" s="85"/>
      <c r="AD174" s="85"/>
      <c r="AE174" s="85"/>
      <c r="AF174" s="113"/>
      <c r="AG174" s="127"/>
      <c r="AH174" s="131"/>
      <c r="AI174" s="131"/>
      <c r="AJ174" s="56"/>
      <c r="AK174" s="57"/>
      <c r="AL174" s="132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</row>
    <row r="175" spans="1:122" s="38" customFormat="1" ht="12" customHeight="1">
      <c r="A175" s="48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58"/>
      <c r="Q175" s="133"/>
      <c r="R175" s="134"/>
      <c r="S175" s="134"/>
      <c r="V175" s="31"/>
      <c r="AC175" s="85"/>
      <c r="AD175" s="85"/>
      <c r="AE175" s="85"/>
      <c r="AF175" s="113"/>
      <c r="AG175" s="59"/>
      <c r="AH175" s="31"/>
      <c r="AI175" s="31"/>
      <c r="AJ175" s="60"/>
      <c r="AK175" s="36"/>
      <c r="AL175" s="39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</row>
    <row r="176" spans="1:122" s="38" customFormat="1" ht="15" customHeight="1">
      <c r="A176" s="51" t="str">
        <f>CONCATENATE("Region ",G188,"/",H188)</f>
        <v>Region 11/Urban</v>
      </c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135"/>
      <c r="R176" s="136"/>
      <c r="S176" s="136"/>
      <c r="V176" s="31"/>
      <c r="AC176" s="85"/>
      <c r="AD176" s="85"/>
      <c r="AE176" s="85"/>
      <c r="AF176" s="113"/>
      <c r="AG176" s="59"/>
      <c r="AH176" s="31"/>
      <c r="AI176" s="31"/>
      <c r="AJ176" s="60"/>
      <c r="AK176" s="36"/>
      <c r="AL176" s="39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</row>
    <row r="177" spans="1:122" s="38" customFormat="1" ht="15">
      <c r="A177" s="38">
        <v>16197</v>
      </c>
      <c r="B177" s="38" t="s">
        <v>549</v>
      </c>
      <c r="C177" s="38" t="s">
        <v>550</v>
      </c>
      <c r="D177" s="38" t="s">
        <v>551</v>
      </c>
      <c r="E177" s="38" t="s">
        <v>24</v>
      </c>
      <c r="F177" s="38">
        <v>78572</v>
      </c>
      <c r="G177" s="31">
        <v>11</v>
      </c>
      <c r="H177" s="31" t="s">
        <v>5</v>
      </c>
      <c r="I177" s="31"/>
      <c r="J177" s="31"/>
      <c r="K177" s="31"/>
      <c r="L177" s="38" t="s">
        <v>205</v>
      </c>
      <c r="M177" s="31">
        <v>89</v>
      </c>
      <c r="N177" s="31">
        <v>23</v>
      </c>
      <c r="O177" s="31">
        <v>112</v>
      </c>
      <c r="P177" s="38" t="s">
        <v>253</v>
      </c>
      <c r="Q177" s="64">
        <v>1218000</v>
      </c>
      <c r="R177" s="32"/>
      <c r="S177" s="32"/>
      <c r="T177" s="38" t="s">
        <v>49</v>
      </c>
      <c r="U177" s="26" t="s">
        <v>552</v>
      </c>
      <c r="V177" s="38">
        <v>125</v>
      </c>
      <c r="W177" s="38">
        <v>17</v>
      </c>
      <c r="X177" s="38">
        <v>4</v>
      </c>
      <c r="Y177" s="38">
        <v>8</v>
      </c>
      <c r="Z177" s="38">
        <v>4</v>
      </c>
      <c r="AB177" s="38">
        <f aca="true" t="shared" si="4" ref="AB177:AB189">SUM(V177:AA177)</f>
        <v>158</v>
      </c>
      <c r="AC177" s="85" t="s">
        <v>217</v>
      </c>
      <c r="AD177" s="85" t="s">
        <v>217</v>
      </c>
      <c r="AE177" s="85" t="s">
        <v>217</v>
      </c>
      <c r="AF177" s="38" t="s">
        <v>627</v>
      </c>
      <c r="AG177" s="38">
        <v>48215020301</v>
      </c>
      <c r="AH177" s="38" t="s">
        <v>124</v>
      </c>
      <c r="AI177" s="31">
        <v>7</v>
      </c>
      <c r="AJ177" s="31">
        <v>12.9</v>
      </c>
      <c r="AK177" s="36">
        <f>(89+90+86)/3</f>
        <v>88.33333333333333</v>
      </c>
      <c r="AL177" s="39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</row>
    <row r="178" spans="1:122" s="38" customFormat="1" ht="15">
      <c r="A178" s="38">
        <v>16380</v>
      </c>
      <c r="B178" s="38" t="s">
        <v>553</v>
      </c>
      <c r="C178" s="126" t="s">
        <v>554</v>
      </c>
      <c r="D178" s="26" t="s">
        <v>555</v>
      </c>
      <c r="E178" s="38" t="s">
        <v>24</v>
      </c>
      <c r="F178" s="38">
        <v>78542</v>
      </c>
      <c r="G178" s="31">
        <v>11</v>
      </c>
      <c r="H178" s="31" t="s">
        <v>5</v>
      </c>
      <c r="I178" s="31"/>
      <c r="J178" s="31"/>
      <c r="K178" s="31"/>
      <c r="L178" s="38" t="s">
        <v>205</v>
      </c>
      <c r="M178" s="31">
        <v>90</v>
      </c>
      <c r="N178" s="31">
        <v>18</v>
      </c>
      <c r="O178" s="31">
        <v>108</v>
      </c>
      <c r="P178" s="38" t="s">
        <v>3</v>
      </c>
      <c r="Q178" s="64">
        <v>1450096</v>
      </c>
      <c r="R178" s="32"/>
      <c r="S178" s="32"/>
      <c r="T178" s="38" t="s">
        <v>79</v>
      </c>
      <c r="U178" s="38" t="s">
        <v>537</v>
      </c>
      <c r="V178" s="38">
        <v>125</v>
      </c>
      <c r="W178" s="38">
        <v>17</v>
      </c>
      <c r="X178" s="38">
        <v>4</v>
      </c>
      <c r="Y178" s="38">
        <v>8</v>
      </c>
      <c r="Z178" s="38">
        <v>4</v>
      </c>
      <c r="AB178" s="38">
        <f t="shared" si="4"/>
        <v>158</v>
      </c>
      <c r="AC178" s="85" t="s">
        <v>217</v>
      </c>
      <c r="AD178" s="85" t="s">
        <v>217</v>
      </c>
      <c r="AE178" s="85" t="s">
        <v>237</v>
      </c>
      <c r="AF178" s="38" t="s">
        <v>627</v>
      </c>
      <c r="AG178" s="38">
        <v>48215023801</v>
      </c>
      <c r="AH178" s="38" t="s">
        <v>124</v>
      </c>
      <c r="AI178" s="31">
        <v>7</v>
      </c>
      <c r="AJ178" s="31">
        <v>17</v>
      </c>
      <c r="AK178" s="36">
        <f>(86+83+84)/3</f>
        <v>84.33333333333333</v>
      </c>
      <c r="AL178" s="70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</row>
    <row r="179" spans="1:122" s="38" customFormat="1" ht="15">
      <c r="A179" s="38">
        <v>16263</v>
      </c>
      <c r="B179" s="38" t="s">
        <v>556</v>
      </c>
      <c r="C179" s="38" t="s">
        <v>557</v>
      </c>
      <c r="D179" s="38" t="s">
        <v>558</v>
      </c>
      <c r="E179" s="38" t="s">
        <v>24</v>
      </c>
      <c r="F179" s="38">
        <v>78542</v>
      </c>
      <c r="G179" s="31">
        <v>11</v>
      </c>
      <c r="H179" s="31" t="s">
        <v>5</v>
      </c>
      <c r="I179" s="31"/>
      <c r="J179" s="31"/>
      <c r="K179" s="31"/>
      <c r="L179" s="38" t="s">
        <v>205</v>
      </c>
      <c r="M179" s="31">
        <v>119</v>
      </c>
      <c r="N179" s="31">
        <v>22</v>
      </c>
      <c r="O179" s="31">
        <v>141</v>
      </c>
      <c r="P179" s="38" t="s">
        <v>253</v>
      </c>
      <c r="Q179" s="64">
        <v>1500000</v>
      </c>
      <c r="R179" s="32"/>
      <c r="S179" s="32"/>
      <c r="T179" s="38" t="s">
        <v>76</v>
      </c>
      <c r="U179" s="38" t="s">
        <v>77</v>
      </c>
      <c r="V179" s="38">
        <v>125</v>
      </c>
      <c r="W179" s="38">
        <v>17</v>
      </c>
      <c r="X179" s="38">
        <v>4</v>
      </c>
      <c r="Y179" s="38">
        <v>8</v>
      </c>
      <c r="Z179" s="38">
        <v>4</v>
      </c>
      <c r="AB179" s="38">
        <f t="shared" si="4"/>
        <v>158</v>
      </c>
      <c r="AC179" s="85" t="s">
        <v>217</v>
      </c>
      <c r="AD179" s="85" t="s">
        <v>217</v>
      </c>
      <c r="AE179" s="85" t="s">
        <v>237</v>
      </c>
      <c r="AF179" s="38" t="s">
        <v>627</v>
      </c>
      <c r="AG179" s="38">
        <v>48215023801</v>
      </c>
      <c r="AH179" s="38" t="s">
        <v>124</v>
      </c>
      <c r="AI179" s="31">
        <v>7</v>
      </c>
      <c r="AJ179" s="31">
        <v>17</v>
      </c>
      <c r="AK179" s="36">
        <f>(86+83+78)/3</f>
        <v>82.33333333333333</v>
      </c>
      <c r="AL179" s="39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</row>
    <row r="180" spans="1:122" s="38" customFormat="1" ht="15">
      <c r="A180" s="38">
        <v>16104</v>
      </c>
      <c r="B180" s="38" t="s">
        <v>559</v>
      </c>
      <c r="C180" s="38" t="s">
        <v>560</v>
      </c>
      <c r="D180" s="38" t="s">
        <v>561</v>
      </c>
      <c r="E180" s="38" t="s">
        <v>24</v>
      </c>
      <c r="F180" s="38">
        <v>78596</v>
      </c>
      <c r="G180" s="31">
        <v>11</v>
      </c>
      <c r="H180" s="31" t="s">
        <v>5</v>
      </c>
      <c r="I180" s="31"/>
      <c r="J180" s="31"/>
      <c r="K180" s="31"/>
      <c r="L180" s="38" t="s">
        <v>205</v>
      </c>
      <c r="M180" s="31">
        <v>112</v>
      </c>
      <c r="N180" s="31">
        <v>20</v>
      </c>
      <c r="O180" s="31">
        <v>132</v>
      </c>
      <c r="P180" s="38" t="s">
        <v>3</v>
      </c>
      <c r="Q180" s="64">
        <v>1500000</v>
      </c>
      <c r="R180" s="32"/>
      <c r="S180" s="32"/>
      <c r="T180" s="38" t="s">
        <v>51</v>
      </c>
      <c r="U180" s="38" t="s">
        <v>64</v>
      </c>
      <c r="V180" s="38">
        <v>125</v>
      </c>
      <c r="W180" s="38">
        <v>17</v>
      </c>
      <c r="X180" s="38">
        <v>4</v>
      </c>
      <c r="Y180" s="38">
        <v>8</v>
      </c>
      <c r="Z180" s="38">
        <v>4</v>
      </c>
      <c r="AB180" s="38">
        <f t="shared" si="4"/>
        <v>158</v>
      </c>
      <c r="AC180" s="85" t="s">
        <v>217</v>
      </c>
      <c r="AD180" s="85" t="s">
        <v>217</v>
      </c>
      <c r="AE180" s="85" t="s">
        <v>237</v>
      </c>
      <c r="AF180" s="38" t="s">
        <v>627</v>
      </c>
      <c r="AG180" s="38">
        <v>48215022300</v>
      </c>
      <c r="AH180" s="38" t="s">
        <v>124</v>
      </c>
      <c r="AI180" s="31">
        <v>7</v>
      </c>
      <c r="AJ180" s="31">
        <v>22</v>
      </c>
      <c r="AK180" s="36">
        <f>(85+77+71)/3</f>
        <v>77.66666666666667</v>
      </c>
      <c r="AL180" s="70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</row>
    <row r="181" spans="1:122" s="38" customFormat="1" ht="15">
      <c r="A181" s="38">
        <v>16090</v>
      </c>
      <c r="B181" s="38" t="s">
        <v>562</v>
      </c>
      <c r="C181" s="38" t="s">
        <v>563</v>
      </c>
      <c r="D181" s="38" t="s">
        <v>21</v>
      </c>
      <c r="E181" s="38" t="s">
        <v>22</v>
      </c>
      <c r="F181" s="38">
        <v>78526</v>
      </c>
      <c r="G181" s="31">
        <v>11</v>
      </c>
      <c r="H181" s="31" t="s">
        <v>5</v>
      </c>
      <c r="I181" s="31"/>
      <c r="J181" s="31"/>
      <c r="K181" s="31"/>
      <c r="L181" s="38" t="s">
        <v>205</v>
      </c>
      <c r="M181" s="31">
        <v>100</v>
      </c>
      <c r="N181" s="31">
        <v>28</v>
      </c>
      <c r="O181" s="31">
        <v>128</v>
      </c>
      <c r="P181" s="38" t="s">
        <v>253</v>
      </c>
      <c r="Q181" s="64">
        <v>1500000</v>
      </c>
      <c r="R181" s="32"/>
      <c r="S181" s="32"/>
      <c r="T181" s="38" t="s">
        <v>10</v>
      </c>
      <c r="U181" s="38" t="s">
        <v>12</v>
      </c>
      <c r="V181" s="38">
        <v>124</v>
      </c>
      <c r="W181" s="38">
        <v>17</v>
      </c>
      <c r="X181" s="38">
        <v>4</v>
      </c>
      <c r="Y181" s="38">
        <v>8</v>
      </c>
      <c r="Z181" s="38">
        <v>4</v>
      </c>
      <c r="AB181" s="38">
        <f t="shared" si="4"/>
        <v>157</v>
      </c>
      <c r="AC181" s="85" t="s">
        <v>217</v>
      </c>
      <c r="AD181" s="85" t="s">
        <v>225</v>
      </c>
      <c r="AE181" s="85" t="s">
        <v>237</v>
      </c>
      <c r="AG181" s="38">
        <v>48061012612</v>
      </c>
      <c r="AH181" s="38" t="s">
        <v>124</v>
      </c>
      <c r="AI181" s="31">
        <v>7</v>
      </c>
      <c r="AJ181" s="31">
        <v>6.7</v>
      </c>
      <c r="AK181" s="36">
        <f>(88+75+93)/3</f>
        <v>85.33333333333333</v>
      </c>
      <c r="AL181" s="70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</row>
    <row r="182" spans="1:122" s="35" customFormat="1" ht="15">
      <c r="A182" s="38">
        <v>16094</v>
      </c>
      <c r="B182" s="35" t="s">
        <v>564</v>
      </c>
      <c r="C182" s="35" t="s">
        <v>565</v>
      </c>
      <c r="D182" s="35" t="s">
        <v>194</v>
      </c>
      <c r="E182" s="35" t="s">
        <v>566</v>
      </c>
      <c r="F182" s="35">
        <v>78539</v>
      </c>
      <c r="G182" s="28">
        <v>11</v>
      </c>
      <c r="H182" s="28" t="s">
        <v>5</v>
      </c>
      <c r="I182" s="28"/>
      <c r="J182" s="28"/>
      <c r="K182" s="28"/>
      <c r="L182" s="35" t="s">
        <v>205</v>
      </c>
      <c r="M182" s="28">
        <v>80</v>
      </c>
      <c r="N182" s="28">
        <v>16</v>
      </c>
      <c r="O182" s="28">
        <v>96</v>
      </c>
      <c r="P182" s="35" t="s">
        <v>3</v>
      </c>
      <c r="Q182" s="68">
        <v>1090087</v>
      </c>
      <c r="R182" s="29"/>
      <c r="S182" s="29"/>
      <c r="T182" s="35" t="s">
        <v>20</v>
      </c>
      <c r="U182" s="35" t="s">
        <v>158</v>
      </c>
      <c r="V182" s="35">
        <v>124</v>
      </c>
      <c r="W182" s="35">
        <v>17</v>
      </c>
      <c r="X182" s="35">
        <v>4</v>
      </c>
      <c r="Y182" s="35">
        <v>8</v>
      </c>
      <c r="Z182" s="35">
        <v>4</v>
      </c>
      <c r="AB182" s="38">
        <f t="shared" si="4"/>
        <v>157</v>
      </c>
      <c r="AC182" s="85" t="s">
        <v>225</v>
      </c>
      <c r="AD182" s="85" t="s">
        <v>225</v>
      </c>
      <c r="AE182" s="85" t="s">
        <v>237</v>
      </c>
      <c r="AG182" s="35">
        <v>48215023902</v>
      </c>
      <c r="AH182" s="35" t="s">
        <v>124</v>
      </c>
      <c r="AI182" s="28">
        <v>7</v>
      </c>
      <c r="AJ182" s="28">
        <v>10.8</v>
      </c>
      <c r="AK182" s="30">
        <f>(86+83+84)/3</f>
        <v>84.33333333333333</v>
      </c>
      <c r="AL182" s="69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</row>
    <row r="183" spans="1:122" s="35" customFormat="1" ht="15">
      <c r="A183" s="38">
        <v>16100</v>
      </c>
      <c r="B183" s="35" t="s">
        <v>193</v>
      </c>
      <c r="C183" s="35" t="s">
        <v>567</v>
      </c>
      <c r="D183" s="35" t="s">
        <v>194</v>
      </c>
      <c r="E183" s="35" t="s">
        <v>24</v>
      </c>
      <c r="F183" s="35">
        <v>78539</v>
      </c>
      <c r="G183" s="28">
        <v>11</v>
      </c>
      <c r="H183" s="28" t="s">
        <v>5</v>
      </c>
      <c r="I183" s="28"/>
      <c r="J183" s="28"/>
      <c r="K183" s="28"/>
      <c r="L183" s="35" t="s">
        <v>205</v>
      </c>
      <c r="M183" s="28">
        <v>116</v>
      </c>
      <c r="N183" s="28">
        <v>24</v>
      </c>
      <c r="O183" s="28">
        <v>140</v>
      </c>
      <c r="P183" s="35" t="s">
        <v>3</v>
      </c>
      <c r="Q183" s="68">
        <v>1500000</v>
      </c>
      <c r="R183" s="29"/>
      <c r="S183" s="29"/>
      <c r="T183" s="35" t="s">
        <v>64</v>
      </c>
      <c r="U183" s="35" t="s">
        <v>51</v>
      </c>
      <c r="V183" s="35">
        <v>124</v>
      </c>
      <c r="W183" s="35">
        <v>17</v>
      </c>
      <c r="X183" s="35">
        <v>4</v>
      </c>
      <c r="Y183" s="35">
        <v>8</v>
      </c>
      <c r="Z183" s="35">
        <v>4</v>
      </c>
      <c r="AB183" s="38">
        <f t="shared" si="4"/>
        <v>157</v>
      </c>
      <c r="AC183" s="85" t="s">
        <v>225</v>
      </c>
      <c r="AD183" s="85" t="s">
        <v>225</v>
      </c>
      <c r="AE183" s="85" t="s">
        <v>237</v>
      </c>
      <c r="AG183" s="35">
        <v>48215023902</v>
      </c>
      <c r="AH183" s="35" t="s">
        <v>124</v>
      </c>
      <c r="AI183" s="28">
        <v>7</v>
      </c>
      <c r="AJ183" s="28">
        <v>10.8</v>
      </c>
      <c r="AK183" s="30">
        <f>(86+83+84)/3</f>
        <v>84.33333333333333</v>
      </c>
      <c r="AL183" s="69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</row>
    <row r="184" spans="1:122" s="35" customFormat="1" ht="15">
      <c r="A184" s="38">
        <v>16361</v>
      </c>
      <c r="B184" s="35" t="s">
        <v>568</v>
      </c>
      <c r="C184" s="35" t="s">
        <v>569</v>
      </c>
      <c r="D184" s="35" t="s">
        <v>21</v>
      </c>
      <c r="E184" s="35" t="s">
        <v>22</v>
      </c>
      <c r="F184" s="35">
        <v>78526</v>
      </c>
      <c r="G184" s="28">
        <v>11</v>
      </c>
      <c r="H184" s="28" t="s">
        <v>5</v>
      </c>
      <c r="I184" s="28"/>
      <c r="J184" s="28"/>
      <c r="K184" s="28" t="s">
        <v>107</v>
      </c>
      <c r="L184" s="35" t="s">
        <v>205</v>
      </c>
      <c r="M184" s="28">
        <v>116</v>
      </c>
      <c r="N184" s="28">
        <v>14</v>
      </c>
      <c r="O184" s="28">
        <v>130</v>
      </c>
      <c r="P184" s="35" t="s">
        <v>253</v>
      </c>
      <c r="Q184" s="68">
        <v>1450000</v>
      </c>
      <c r="R184" s="29"/>
      <c r="S184" s="29"/>
      <c r="T184" s="35" t="s">
        <v>547</v>
      </c>
      <c r="U184" s="35" t="s">
        <v>570</v>
      </c>
      <c r="V184" s="35">
        <v>124</v>
      </c>
      <c r="W184" s="35">
        <v>17</v>
      </c>
      <c r="X184" s="35">
        <v>4</v>
      </c>
      <c r="Y184" s="35">
        <v>8</v>
      </c>
      <c r="Z184" s="35">
        <v>4</v>
      </c>
      <c r="AB184" s="38">
        <f t="shared" si="4"/>
        <v>157</v>
      </c>
      <c r="AC184" s="85" t="s">
        <v>225</v>
      </c>
      <c r="AD184" s="85" t="s">
        <v>225</v>
      </c>
      <c r="AE184" s="85" t="s">
        <v>237</v>
      </c>
      <c r="AG184" s="35">
        <v>48061014400</v>
      </c>
      <c r="AH184" s="35" t="s">
        <v>124</v>
      </c>
      <c r="AI184" s="28">
        <v>7</v>
      </c>
      <c r="AJ184" s="28">
        <v>22</v>
      </c>
      <c r="AK184" s="30">
        <f>(92+86+84)/3</f>
        <v>87.33333333333333</v>
      </c>
      <c r="AL184" s="69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</row>
    <row r="185" spans="1:122" s="35" customFormat="1" ht="15">
      <c r="A185" s="38">
        <v>16288</v>
      </c>
      <c r="B185" s="35" t="s">
        <v>571</v>
      </c>
      <c r="C185" s="35" t="s">
        <v>572</v>
      </c>
      <c r="D185" s="35" t="s">
        <v>21</v>
      </c>
      <c r="E185" s="35" t="s">
        <v>22</v>
      </c>
      <c r="F185" s="35">
        <v>78520</v>
      </c>
      <c r="G185" s="28">
        <v>11</v>
      </c>
      <c r="H185" s="28" t="s">
        <v>5</v>
      </c>
      <c r="I185" s="28"/>
      <c r="J185" s="28"/>
      <c r="K185" s="28" t="s">
        <v>107</v>
      </c>
      <c r="L185" s="35" t="s">
        <v>205</v>
      </c>
      <c r="M185" s="28">
        <v>132</v>
      </c>
      <c r="N185" s="28">
        <v>24</v>
      </c>
      <c r="O185" s="28">
        <v>156</v>
      </c>
      <c r="P185" s="35" t="s">
        <v>3</v>
      </c>
      <c r="Q185" s="68">
        <v>1500000</v>
      </c>
      <c r="R185" s="29"/>
      <c r="S185" s="29"/>
      <c r="T185" s="35" t="s">
        <v>573</v>
      </c>
      <c r="U185" s="35" t="s">
        <v>574</v>
      </c>
      <c r="V185" s="35">
        <v>124</v>
      </c>
      <c r="W185" s="35">
        <v>17</v>
      </c>
      <c r="X185" s="35">
        <v>4</v>
      </c>
      <c r="Y185" s="35">
        <v>8</v>
      </c>
      <c r="Z185" s="35">
        <v>4</v>
      </c>
      <c r="AB185" s="38">
        <f t="shared" si="4"/>
        <v>157</v>
      </c>
      <c r="AC185" s="85" t="s">
        <v>225</v>
      </c>
      <c r="AD185" s="85" t="s">
        <v>225</v>
      </c>
      <c r="AE185" s="85" t="s">
        <v>225</v>
      </c>
      <c r="AG185" s="35">
        <v>48061012504</v>
      </c>
      <c r="AH185" s="35" t="s">
        <v>124</v>
      </c>
      <c r="AI185" s="28">
        <v>7</v>
      </c>
      <c r="AJ185" s="28">
        <v>27.7</v>
      </c>
      <c r="AK185" s="30">
        <f>(88+75+84)/3</f>
        <v>82.33333333333333</v>
      </c>
      <c r="AL185" s="69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</row>
    <row r="186" spans="1:122" s="35" customFormat="1" ht="15">
      <c r="A186" s="38">
        <v>16379</v>
      </c>
      <c r="B186" s="35" t="s">
        <v>575</v>
      </c>
      <c r="C186" s="35" t="s">
        <v>576</v>
      </c>
      <c r="D186" s="35" t="s">
        <v>577</v>
      </c>
      <c r="E186" s="35" t="s">
        <v>24</v>
      </c>
      <c r="F186" s="35">
        <v>78596</v>
      </c>
      <c r="G186" s="28">
        <v>11</v>
      </c>
      <c r="H186" s="28" t="s">
        <v>5</v>
      </c>
      <c r="I186" s="28"/>
      <c r="J186" s="28"/>
      <c r="K186" s="28"/>
      <c r="L186" s="35" t="s">
        <v>205</v>
      </c>
      <c r="M186" s="28">
        <v>130</v>
      </c>
      <c r="N186" s="28">
        <v>10</v>
      </c>
      <c r="O186" s="28">
        <v>140</v>
      </c>
      <c r="P186" s="35" t="s">
        <v>3</v>
      </c>
      <c r="Q186" s="68">
        <v>1500000</v>
      </c>
      <c r="R186" s="29"/>
      <c r="S186" s="29"/>
      <c r="T186" s="35" t="s">
        <v>197</v>
      </c>
      <c r="U186" s="35" t="s">
        <v>198</v>
      </c>
      <c r="V186" s="35">
        <v>123</v>
      </c>
      <c r="W186" s="35">
        <v>17</v>
      </c>
      <c r="X186" s="35">
        <v>4</v>
      </c>
      <c r="Y186" s="35">
        <v>8</v>
      </c>
      <c r="Z186" s="35">
        <v>4</v>
      </c>
      <c r="AB186" s="38">
        <f t="shared" si="4"/>
        <v>156</v>
      </c>
      <c r="AC186" s="85" t="s">
        <v>225</v>
      </c>
      <c r="AD186" s="85" t="s">
        <v>225</v>
      </c>
      <c r="AE186" s="85" t="s">
        <v>225</v>
      </c>
      <c r="AG186" s="35">
        <v>48215022300</v>
      </c>
      <c r="AH186" s="35" t="s">
        <v>124</v>
      </c>
      <c r="AI186" s="28">
        <v>7</v>
      </c>
      <c r="AJ186" s="28">
        <v>22</v>
      </c>
      <c r="AK186" s="30">
        <f>(84+77+71)/3</f>
        <v>77.33333333333333</v>
      </c>
      <c r="AL186" s="69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</row>
    <row r="187" spans="1:122" s="35" customFormat="1" ht="15">
      <c r="A187" s="38">
        <v>16339</v>
      </c>
      <c r="B187" s="35" t="s">
        <v>195</v>
      </c>
      <c r="C187" s="35" t="s">
        <v>196</v>
      </c>
      <c r="D187" s="35" t="s">
        <v>24</v>
      </c>
      <c r="E187" s="35" t="s">
        <v>24</v>
      </c>
      <c r="F187" s="35">
        <v>78557</v>
      </c>
      <c r="G187" s="28">
        <v>11</v>
      </c>
      <c r="H187" s="28" t="s">
        <v>175</v>
      </c>
      <c r="I187" s="28"/>
      <c r="J187" s="28"/>
      <c r="K187" s="28"/>
      <c r="L187" s="35" t="s">
        <v>205</v>
      </c>
      <c r="M187" s="28">
        <v>130</v>
      </c>
      <c r="N187" s="28">
        <v>10</v>
      </c>
      <c r="O187" s="28">
        <v>140</v>
      </c>
      <c r="P187" s="35" t="s">
        <v>3</v>
      </c>
      <c r="Q187" s="68">
        <v>1500000</v>
      </c>
      <c r="R187" s="29"/>
      <c r="S187" s="29"/>
      <c r="T187" s="35" t="s">
        <v>197</v>
      </c>
      <c r="U187" s="35" t="s">
        <v>198</v>
      </c>
      <c r="V187" s="35">
        <v>122</v>
      </c>
      <c r="W187" s="35">
        <v>17</v>
      </c>
      <c r="X187" s="35">
        <v>4</v>
      </c>
      <c r="Y187" s="35">
        <v>8</v>
      </c>
      <c r="Z187" s="35">
        <v>4</v>
      </c>
      <c r="AB187" s="38">
        <f t="shared" si="4"/>
        <v>155</v>
      </c>
      <c r="AC187" s="85" t="s">
        <v>225</v>
      </c>
      <c r="AD187" s="85" t="s">
        <v>225</v>
      </c>
      <c r="AE187" s="85" t="s">
        <v>225</v>
      </c>
      <c r="AG187" s="35">
        <v>48215021305</v>
      </c>
      <c r="AH187" s="35" t="s">
        <v>115</v>
      </c>
      <c r="AI187" s="28">
        <v>6</v>
      </c>
      <c r="AJ187" s="28">
        <v>20.9</v>
      </c>
      <c r="AK187" s="30">
        <f>(87+77+76)/3</f>
        <v>80</v>
      </c>
      <c r="AL187" s="69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</row>
    <row r="188" spans="1:122" s="38" customFormat="1" ht="15">
      <c r="A188" s="38">
        <v>16029</v>
      </c>
      <c r="B188" s="38" t="s">
        <v>578</v>
      </c>
      <c r="C188" s="38" t="s">
        <v>579</v>
      </c>
      <c r="D188" s="38" t="s">
        <v>580</v>
      </c>
      <c r="E188" s="38" t="s">
        <v>22</v>
      </c>
      <c r="F188" s="38">
        <v>78550</v>
      </c>
      <c r="G188" s="31">
        <v>11</v>
      </c>
      <c r="H188" s="31" t="s">
        <v>5</v>
      </c>
      <c r="I188" s="31"/>
      <c r="J188" s="31"/>
      <c r="K188" s="31"/>
      <c r="L188" s="38" t="s">
        <v>320</v>
      </c>
      <c r="M188" s="63">
        <v>19</v>
      </c>
      <c r="N188" s="63">
        <v>5</v>
      </c>
      <c r="O188" s="63">
        <v>24</v>
      </c>
      <c r="P188" s="38" t="s">
        <v>3</v>
      </c>
      <c r="Q188" s="64">
        <v>327000</v>
      </c>
      <c r="R188" s="32"/>
      <c r="S188" s="32"/>
      <c r="T188" s="38" t="s">
        <v>321</v>
      </c>
      <c r="U188" s="38" t="s">
        <v>322</v>
      </c>
      <c r="V188" s="38">
        <v>122</v>
      </c>
      <c r="W188" s="38">
        <v>17</v>
      </c>
      <c r="X188" s="38">
        <v>4</v>
      </c>
      <c r="Y188" s="38">
        <v>8</v>
      </c>
      <c r="Z188" s="38">
        <v>4</v>
      </c>
      <c r="AB188" s="38">
        <f>SUM(V188:AA188)</f>
        <v>155</v>
      </c>
      <c r="AC188" s="85" t="s">
        <v>225</v>
      </c>
      <c r="AD188" s="85" t="s">
        <v>225</v>
      </c>
      <c r="AE188" s="85" t="s">
        <v>237</v>
      </c>
      <c r="AG188" s="38">
        <v>48061010900</v>
      </c>
      <c r="AH188" s="38" t="s">
        <v>110</v>
      </c>
      <c r="AI188" s="31">
        <v>0</v>
      </c>
      <c r="AJ188" s="31">
        <v>48.3</v>
      </c>
      <c r="AK188" s="36">
        <f>(83+70+94)/3</f>
        <v>82.33333333333333</v>
      </c>
      <c r="AL188" s="70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</row>
    <row r="189" spans="1:122" s="35" customFormat="1" ht="15">
      <c r="A189" s="38">
        <v>16259</v>
      </c>
      <c r="B189" s="35" t="s">
        <v>581</v>
      </c>
      <c r="C189" s="35" t="s">
        <v>582</v>
      </c>
      <c r="D189" s="35" t="s">
        <v>21</v>
      </c>
      <c r="E189" s="35" t="s">
        <v>583</v>
      </c>
      <c r="F189" s="35">
        <v>78520</v>
      </c>
      <c r="G189" s="28">
        <v>11</v>
      </c>
      <c r="H189" s="28" t="s">
        <v>5</v>
      </c>
      <c r="I189" s="28"/>
      <c r="J189" s="28"/>
      <c r="K189" s="28" t="s">
        <v>107</v>
      </c>
      <c r="L189" s="35" t="s">
        <v>205</v>
      </c>
      <c r="M189" s="28">
        <v>54</v>
      </c>
      <c r="N189" s="28">
        <v>0</v>
      </c>
      <c r="O189" s="28">
        <v>54</v>
      </c>
      <c r="P189" s="35" t="s">
        <v>3</v>
      </c>
      <c r="Q189" s="68">
        <v>850893</v>
      </c>
      <c r="R189" s="29"/>
      <c r="S189" s="29"/>
      <c r="T189" s="35" t="s">
        <v>584</v>
      </c>
      <c r="U189" s="35" t="s">
        <v>585</v>
      </c>
      <c r="V189" s="35">
        <v>123</v>
      </c>
      <c r="W189" s="35">
        <v>17</v>
      </c>
      <c r="X189" s="35">
        <v>4</v>
      </c>
      <c r="Y189" s="35">
        <v>8</v>
      </c>
      <c r="Z189" s="35">
        <v>0</v>
      </c>
      <c r="AB189" s="38">
        <f t="shared" si="4"/>
        <v>152</v>
      </c>
      <c r="AC189" s="85" t="s">
        <v>225</v>
      </c>
      <c r="AD189" s="85" t="s">
        <v>225</v>
      </c>
      <c r="AE189" s="85" t="s">
        <v>225</v>
      </c>
      <c r="AG189" s="35">
        <v>48061014400</v>
      </c>
      <c r="AH189" s="35" t="s">
        <v>124</v>
      </c>
      <c r="AI189" s="28">
        <v>7</v>
      </c>
      <c r="AJ189" s="28">
        <v>22</v>
      </c>
      <c r="AK189" s="30">
        <f>(90+73+71)/3</f>
        <v>78</v>
      </c>
      <c r="AL189" s="69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</row>
    <row r="190" spans="1:122" s="35" customFormat="1" ht="15" customHeight="1">
      <c r="A190" s="38">
        <v>16387</v>
      </c>
      <c r="B190" s="35" t="s">
        <v>586</v>
      </c>
      <c r="C190" s="35" t="s">
        <v>587</v>
      </c>
      <c r="D190" s="35" t="s">
        <v>21</v>
      </c>
      <c r="E190" s="35" t="s">
        <v>22</v>
      </c>
      <c r="F190" s="35">
        <v>78520</v>
      </c>
      <c r="G190" s="28">
        <v>11</v>
      </c>
      <c r="H190" s="28" t="s">
        <v>5</v>
      </c>
      <c r="I190" s="28"/>
      <c r="J190" s="28"/>
      <c r="K190" s="28" t="s">
        <v>107</v>
      </c>
      <c r="L190" s="35" t="s">
        <v>205</v>
      </c>
      <c r="M190" s="28">
        <v>92</v>
      </c>
      <c r="N190" s="28">
        <v>10</v>
      </c>
      <c r="O190" s="28">
        <v>102</v>
      </c>
      <c r="P190" s="35" t="s">
        <v>3</v>
      </c>
      <c r="Q190" s="68">
        <v>1500000</v>
      </c>
      <c r="R190" s="29"/>
      <c r="S190" s="34" t="s">
        <v>107</v>
      </c>
      <c r="T190" s="35" t="s">
        <v>588</v>
      </c>
      <c r="U190" s="35" t="s">
        <v>570</v>
      </c>
      <c r="V190" s="35">
        <v>118</v>
      </c>
      <c r="W190" s="35">
        <v>17</v>
      </c>
      <c r="X190" s="38">
        <v>4</v>
      </c>
      <c r="Y190" s="35">
        <v>8</v>
      </c>
      <c r="Z190" s="35">
        <v>4</v>
      </c>
      <c r="AB190" s="38">
        <f>SUM(V190:AA190)</f>
        <v>151</v>
      </c>
      <c r="AC190" s="85" t="s">
        <v>217</v>
      </c>
      <c r="AD190" s="85" t="s">
        <v>217</v>
      </c>
      <c r="AE190" s="85" t="s">
        <v>237</v>
      </c>
      <c r="AG190" s="35">
        <v>48061012504</v>
      </c>
      <c r="AH190" s="35" t="s">
        <v>124</v>
      </c>
      <c r="AI190" s="28">
        <v>7</v>
      </c>
      <c r="AJ190" s="28">
        <v>27.7</v>
      </c>
      <c r="AK190" s="30">
        <f>(88+75+84)/3</f>
        <v>82.33333333333333</v>
      </c>
      <c r="AL190" s="69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</row>
    <row r="191" spans="1:122" s="116" customFormat="1" ht="15" outlineLevel="1">
      <c r="A191" s="41" t="s">
        <v>101</v>
      </c>
      <c r="B191" s="109"/>
      <c r="C191" s="54">
        <v>5548559.13</v>
      </c>
      <c r="D191" s="111"/>
      <c r="E191" s="111"/>
      <c r="F191" s="111"/>
      <c r="G191" s="111"/>
      <c r="H191" s="111"/>
      <c r="I191" s="125"/>
      <c r="J191" s="111"/>
      <c r="K191" s="111"/>
      <c r="L191" s="111"/>
      <c r="M191" s="42"/>
      <c r="N191" s="42"/>
      <c r="O191" s="42"/>
      <c r="P191" s="44" t="s">
        <v>84</v>
      </c>
      <c r="Q191" s="112">
        <f>SUM(Q177:Q190)</f>
        <v>18386076</v>
      </c>
      <c r="T191" s="111"/>
      <c r="U191" s="111"/>
      <c r="V191" s="111"/>
      <c r="W191" s="111"/>
      <c r="X191" s="111"/>
      <c r="Y191" s="111"/>
      <c r="Z191" s="111"/>
      <c r="AA191" s="111"/>
      <c r="AB191" s="38"/>
      <c r="AC191" s="85"/>
      <c r="AD191" s="53"/>
      <c r="AE191" s="53"/>
      <c r="AG191" s="111"/>
      <c r="AH191" s="114"/>
      <c r="AI191" s="114"/>
      <c r="AJ191" s="45"/>
      <c r="AK191" s="46"/>
      <c r="AL191" s="115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</row>
    <row r="192" spans="1:122" s="35" customFormat="1" ht="12" customHeight="1">
      <c r="A192" s="48"/>
      <c r="B192" s="3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62"/>
      <c r="Q192" s="122"/>
      <c r="R192" s="123"/>
      <c r="S192" s="123"/>
      <c r="V192" s="28"/>
      <c r="AB192" s="38"/>
      <c r="AC192" s="85"/>
      <c r="AD192" s="85"/>
      <c r="AE192" s="85"/>
      <c r="AG192" s="49"/>
      <c r="AH192" s="28"/>
      <c r="AI192" s="28"/>
      <c r="AJ192" s="50"/>
      <c r="AK192" s="30"/>
      <c r="AL192" s="69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</row>
    <row r="193" spans="1:122" s="35" customFormat="1" ht="15" customHeight="1">
      <c r="A193" s="51" t="str">
        <f>CONCATENATE("Region ",G195,"/",H195)</f>
        <v>Region 12/Rural</v>
      </c>
      <c r="B193" s="3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120"/>
      <c r="R193" s="121"/>
      <c r="S193" s="121"/>
      <c r="V193" s="28"/>
      <c r="AB193" s="38"/>
      <c r="AC193" s="85"/>
      <c r="AD193" s="85"/>
      <c r="AE193" s="85"/>
      <c r="AG193" s="49"/>
      <c r="AH193" s="28"/>
      <c r="AI193" s="28"/>
      <c r="AJ193" s="50"/>
      <c r="AK193" s="30"/>
      <c r="AL193" s="69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</row>
    <row r="194" spans="1:122" s="35" customFormat="1" ht="30">
      <c r="A194" s="38">
        <v>16057</v>
      </c>
      <c r="B194" s="35" t="s">
        <v>589</v>
      </c>
      <c r="C194" s="66" t="s">
        <v>590</v>
      </c>
      <c r="D194" s="35" t="s">
        <v>591</v>
      </c>
      <c r="E194" s="35" t="s">
        <v>591</v>
      </c>
      <c r="F194" s="35">
        <v>76856</v>
      </c>
      <c r="G194" s="28">
        <v>12</v>
      </c>
      <c r="H194" s="28" t="s">
        <v>1</v>
      </c>
      <c r="I194" s="28"/>
      <c r="J194" s="28"/>
      <c r="K194" s="28"/>
      <c r="L194" s="35" t="s">
        <v>205</v>
      </c>
      <c r="M194" s="28">
        <v>44</v>
      </c>
      <c r="N194" s="28">
        <v>5</v>
      </c>
      <c r="O194" s="28">
        <v>49</v>
      </c>
      <c r="P194" s="35" t="s">
        <v>253</v>
      </c>
      <c r="Q194" s="68">
        <v>500000</v>
      </c>
      <c r="R194" s="29"/>
      <c r="S194" s="29"/>
      <c r="T194" s="35" t="s">
        <v>157</v>
      </c>
      <c r="U194" s="35" t="s">
        <v>26</v>
      </c>
      <c r="V194" s="35">
        <v>125</v>
      </c>
      <c r="W194" s="35">
        <v>17</v>
      </c>
      <c r="X194" s="35">
        <v>4</v>
      </c>
      <c r="Y194" s="35">
        <v>8</v>
      </c>
      <c r="Z194" s="35">
        <v>4</v>
      </c>
      <c r="AB194" s="38">
        <f>SUM(V194:AA194)</f>
        <v>158</v>
      </c>
      <c r="AC194" s="85" t="s">
        <v>217</v>
      </c>
      <c r="AD194" s="85" t="s">
        <v>217</v>
      </c>
      <c r="AE194" s="85" t="s">
        <v>237</v>
      </c>
      <c r="AF194" s="145" t="s">
        <v>629</v>
      </c>
      <c r="AG194" s="35">
        <v>48319950200</v>
      </c>
      <c r="AH194" s="35" t="s">
        <v>115</v>
      </c>
      <c r="AI194" s="28">
        <v>7</v>
      </c>
      <c r="AJ194" s="28">
        <v>5.9</v>
      </c>
      <c r="AK194" s="30">
        <f>(91+87+97)/3</f>
        <v>91.66666666666667</v>
      </c>
      <c r="AL194" s="108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</row>
    <row r="195" spans="1:122" s="38" customFormat="1" ht="15">
      <c r="A195" s="38">
        <v>16234</v>
      </c>
      <c r="B195" s="26" t="s">
        <v>592</v>
      </c>
      <c r="C195" s="38" t="s">
        <v>593</v>
      </c>
      <c r="D195" s="38" t="s">
        <v>594</v>
      </c>
      <c r="E195" s="38" t="s">
        <v>595</v>
      </c>
      <c r="F195" s="38">
        <v>79331</v>
      </c>
      <c r="G195" s="31">
        <v>12</v>
      </c>
      <c r="H195" s="31" t="s">
        <v>1</v>
      </c>
      <c r="I195" s="31"/>
      <c r="J195" s="31"/>
      <c r="K195" s="31"/>
      <c r="L195" s="38" t="s">
        <v>205</v>
      </c>
      <c r="M195" s="31">
        <v>50</v>
      </c>
      <c r="N195" s="31">
        <v>30</v>
      </c>
      <c r="O195" s="31">
        <v>80</v>
      </c>
      <c r="P195" s="38" t="s">
        <v>3</v>
      </c>
      <c r="Q195" s="64">
        <v>750000</v>
      </c>
      <c r="R195" s="32"/>
      <c r="S195" s="32"/>
      <c r="T195" s="38" t="s">
        <v>397</v>
      </c>
      <c r="U195" s="38" t="s">
        <v>207</v>
      </c>
      <c r="V195" s="38">
        <v>117</v>
      </c>
      <c r="W195" s="38">
        <v>17</v>
      </c>
      <c r="X195" s="38">
        <v>4</v>
      </c>
      <c r="Y195" s="38">
        <v>8</v>
      </c>
      <c r="Z195" s="38">
        <v>4</v>
      </c>
      <c r="AB195" s="38">
        <f>SUM(V195:AA195)</f>
        <v>150</v>
      </c>
      <c r="AC195" s="85" t="s">
        <v>217</v>
      </c>
      <c r="AD195" s="85" t="s">
        <v>217</v>
      </c>
      <c r="AE195" s="85" t="s">
        <v>217</v>
      </c>
      <c r="AG195" s="38">
        <v>48115950401</v>
      </c>
      <c r="AH195" s="38" t="s">
        <v>115</v>
      </c>
      <c r="AI195" s="31">
        <v>7</v>
      </c>
      <c r="AJ195" s="31">
        <v>14.9</v>
      </c>
      <c r="AK195" s="36">
        <f>(64+57+64)/3</f>
        <v>61.666666666666664</v>
      </c>
      <c r="AL195" s="39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</row>
    <row r="196" spans="1:122" s="130" customFormat="1" ht="15" outlineLevel="1">
      <c r="A196" s="41" t="s">
        <v>101</v>
      </c>
      <c r="B196" s="109"/>
      <c r="C196" s="54">
        <v>500000</v>
      </c>
      <c r="D196" s="127"/>
      <c r="E196" s="127"/>
      <c r="F196" s="127"/>
      <c r="G196" s="127"/>
      <c r="H196" s="127"/>
      <c r="I196" s="128"/>
      <c r="J196" s="127"/>
      <c r="K196" s="127"/>
      <c r="L196" s="127"/>
      <c r="M196" s="55"/>
      <c r="N196" s="55"/>
      <c r="O196" s="55"/>
      <c r="P196" s="44" t="s">
        <v>84</v>
      </c>
      <c r="Q196" s="129">
        <f>SUM(Q194:Q195)</f>
        <v>1250000</v>
      </c>
      <c r="T196" s="127"/>
      <c r="U196" s="127"/>
      <c r="V196" s="127"/>
      <c r="W196" s="127"/>
      <c r="X196" s="127"/>
      <c r="Y196" s="127"/>
      <c r="Z196" s="127"/>
      <c r="AA196" s="127"/>
      <c r="AB196" s="38"/>
      <c r="AC196" s="85"/>
      <c r="AD196" s="85"/>
      <c r="AE196" s="85"/>
      <c r="AG196" s="127"/>
      <c r="AH196" s="131"/>
      <c r="AI196" s="131"/>
      <c r="AJ196" s="56"/>
      <c r="AK196" s="57"/>
      <c r="AL196" s="132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</row>
    <row r="197" spans="1:122" s="38" customFormat="1" ht="12" customHeight="1">
      <c r="A197" s="48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58"/>
      <c r="Q197" s="133"/>
      <c r="R197" s="134"/>
      <c r="S197" s="134"/>
      <c r="V197" s="31"/>
      <c r="AC197" s="85"/>
      <c r="AD197" s="85"/>
      <c r="AE197" s="85"/>
      <c r="AH197" s="31"/>
      <c r="AI197" s="31"/>
      <c r="AJ197" s="60"/>
      <c r="AK197" s="36"/>
      <c r="AL197" s="39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</row>
    <row r="198" spans="1:122" s="38" customFormat="1" ht="15" customHeight="1">
      <c r="A198" s="51" t="str">
        <f>CONCATENATE("Region ",G200,"/",H200)</f>
        <v>Region 12/Urban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135"/>
      <c r="R198" s="136"/>
      <c r="S198" s="136"/>
      <c r="V198" s="31"/>
      <c r="AC198" s="85"/>
      <c r="AD198" s="85"/>
      <c r="AE198" s="85"/>
      <c r="AF198" s="127"/>
      <c r="AH198" s="31"/>
      <c r="AI198" s="31"/>
      <c r="AJ198" s="60"/>
      <c r="AK198" s="36"/>
      <c r="AL198" s="39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</row>
    <row r="199" spans="1:122" s="38" customFormat="1" ht="15">
      <c r="A199" s="38">
        <v>16200</v>
      </c>
      <c r="B199" s="38" t="s">
        <v>596</v>
      </c>
      <c r="C199" s="38" t="s">
        <v>597</v>
      </c>
      <c r="D199" s="38" t="s">
        <v>42</v>
      </c>
      <c r="E199" s="38" t="s">
        <v>43</v>
      </c>
      <c r="F199" s="38">
        <v>76904</v>
      </c>
      <c r="G199" s="31">
        <v>12</v>
      </c>
      <c r="H199" s="31" t="s">
        <v>5</v>
      </c>
      <c r="I199" s="31"/>
      <c r="J199" s="31"/>
      <c r="K199" s="31"/>
      <c r="L199" s="38" t="s">
        <v>205</v>
      </c>
      <c r="M199" s="31">
        <v>56</v>
      </c>
      <c r="N199" s="31">
        <v>16</v>
      </c>
      <c r="O199" s="31">
        <v>72</v>
      </c>
      <c r="P199" s="38" t="s">
        <v>253</v>
      </c>
      <c r="Q199" s="64">
        <v>788300</v>
      </c>
      <c r="R199" s="32"/>
      <c r="S199" s="32"/>
      <c r="T199" s="38" t="s">
        <v>148</v>
      </c>
      <c r="U199" s="38" t="s">
        <v>61</v>
      </c>
      <c r="V199" s="38">
        <v>118</v>
      </c>
      <c r="W199" s="38">
        <v>17</v>
      </c>
      <c r="X199" s="38">
        <v>4</v>
      </c>
      <c r="Y199" s="38">
        <v>8</v>
      </c>
      <c r="Z199" s="38">
        <v>4</v>
      </c>
      <c r="AB199" s="38">
        <f>SUM(V199:AA199)</f>
        <v>151</v>
      </c>
      <c r="AC199" s="85" t="s">
        <v>217</v>
      </c>
      <c r="AD199" s="85" t="s">
        <v>217</v>
      </c>
      <c r="AE199" s="85" t="s">
        <v>237</v>
      </c>
      <c r="AF199" s="38" t="s">
        <v>627</v>
      </c>
      <c r="AG199" s="38">
        <v>48451001800</v>
      </c>
      <c r="AH199" s="38" t="s">
        <v>110</v>
      </c>
      <c r="AI199" s="31">
        <v>0</v>
      </c>
      <c r="AJ199" s="31">
        <v>39.3</v>
      </c>
      <c r="AK199" s="36">
        <f>(52+63+66)/3</f>
        <v>60.333333333333336</v>
      </c>
      <c r="AL199" s="70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</row>
    <row r="200" spans="1:122" s="38" customFormat="1" ht="15">
      <c r="A200" s="38">
        <v>16210</v>
      </c>
      <c r="B200" s="38" t="s">
        <v>598</v>
      </c>
      <c r="C200" s="38" t="s">
        <v>599</v>
      </c>
      <c r="D200" s="38" t="s">
        <v>75</v>
      </c>
      <c r="E200" s="38" t="s">
        <v>75</v>
      </c>
      <c r="F200" s="38">
        <v>79703</v>
      </c>
      <c r="G200" s="31">
        <v>12</v>
      </c>
      <c r="H200" s="31" t="s">
        <v>5</v>
      </c>
      <c r="I200" s="31"/>
      <c r="J200" s="31"/>
      <c r="K200" s="31" t="s">
        <v>107</v>
      </c>
      <c r="L200" s="38" t="s">
        <v>205</v>
      </c>
      <c r="M200" s="31">
        <v>83</v>
      </c>
      <c r="N200" s="31">
        <v>21</v>
      </c>
      <c r="O200" s="31">
        <v>104</v>
      </c>
      <c r="P200" s="38" t="s">
        <v>3</v>
      </c>
      <c r="Q200" s="64">
        <v>853071</v>
      </c>
      <c r="R200" s="32" t="s">
        <v>107</v>
      </c>
      <c r="S200" s="32"/>
      <c r="T200" s="38" t="s">
        <v>74</v>
      </c>
      <c r="U200" s="38" t="s">
        <v>178</v>
      </c>
      <c r="V200" s="38">
        <v>116</v>
      </c>
      <c r="W200" s="38">
        <v>17</v>
      </c>
      <c r="X200" s="38">
        <v>4</v>
      </c>
      <c r="Y200" s="38">
        <v>8</v>
      </c>
      <c r="Z200" s="38">
        <v>4</v>
      </c>
      <c r="AB200" s="38">
        <f>SUM(V200:AA200)</f>
        <v>149</v>
      </c>
      <c r="AC200" s="85" t="s">
        <v>217</v>
      </c>
      <c r="AD200" s="85" t="s">
        <v>225</v>
      </c>
      <c r="AE200" s="85" t="s">
        <v>237</v>
      </c>
      <c r="AG200" s="38">
        <v>48329001300</v>
      </c>
      <c r="AH200" s="38" t="s">
        <v>115</v>
      </c>
      <c r="AI200" s="31">
        <v>0</v>
      </c>
      <c r="AJ200" s="31">
        <v>9.4</v>
      </c>
      <c r="AK200" s="36">
        <f>(63+58+65)/3</f>
        <v>62</v>
      </c>
      <c r="AL200" s="39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</row>
    <row r="201" spans="1:122" s="130" customFormat="1" ht="15" outlineLevel="1">
      <c r="A201" s="41" t="s">
        <v>101</v>
      </c>
      <c r="B201" s="109"/>
      <c r="C201" s="54">
        <v>889197.27</v>
      </c>
      <c r="D201" s="127"/>
      <c r="E201" s="127"/>
      <c r="F201" s="127"/>
      <c r="G201" s="127"/>
      <c r="H201" s="127"/>
      <c r="I201" s="128"/>
      <c r="J201" s="127"/>
      <c r="K201" s="127"/>
      <c r="L201" s="127"/>
      <c r="M201" s="55"/>
      <c r="N201" s="55"/>
      <c r="O201" s="55"/>
      <c r="P201" s="44" t="s">
        <v>84</v>
      </c>
      <c r="Q201" s="129">
        <f>SUM(Q199:Q200)</f>
        <v>1641371</v>
      </c>
      <c r="T201" s="127"/>
      <c r="U201" s="127"/>
      <c r="V201" s="127"/>
      <c r="W201" s="127"/>
      <c r="X201" s="127"/>
      <c r="Y201" s="127"/>
      <c r="Z201" s="127"/>
      <c r="AA201" s="127"/>
      <c r="AB201" s="38"/>
      <c r="AC201" s="85"/>
      <c r="AD201" s="85"/>
      <c r="AE201" s="85"/>
      <c r="AF201" s="26"/>
      <c r="AG201" s="127"/>
      <c r="AH201" s="131"/>
      <c r="AI201" s="131"/>
      <c r="AJ201" s="56"/>
      <c r="AK201" s="57"/>
      <c r="AL201" s="132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</row>
    <row r="202" spans="1:122" s="38" customFormat="1" ht="12" customHeight="1">
      <c r="A202" s="48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58"/>
      <c r="Q202" s="133"/>
      <c r="R202" s="134"/>
      <c r="S202" s="134"/>
      <c r="V202" s="31"/>
      <c r="AC202" s="85"/>
      <c r="AD202" s="85"/>
      <c r="AE202" s="85"/>
      <c r="AG202" s="59"/>
      <c r="AH202" s="31"/>
      <c r="AI202" s="31"/>
      <c r="AJ202" s="60"/>
      <c r="AK202" s="36"/>
      <c r="AL202" s="39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</row>
    <row r="203" spans="1:122" s="38" customFormat="1" ht="15" customHeight="1">
      <c r="A203" s="51" t="str">
        <f>CONCATENATE("Region ",G205,"/",H205)</f>
        <v>Region 13/Rural</v>
      </c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135"/>
      <c r="R203" s="136"/>
      <c r="S203" s="136"/>
      <c r="V203" s="31"/>
      <c r="AC203" s="85"/>
      <c r="AD203" s="85"/>
      <c r="AE203" s="85"/>
      <c r="AG203" s="59"/>
      <c r="AH203" s="31"/>
      <c r="AI203" s="31"/>
      <c r="AJ203" s="60"/>
      <c r="AK203" s="36"/>
      <c r="AL203" s="39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</row>
    <row r="204" spans="1:122" s="38" customFormat="1" ht="30">
      <c r="A204" s="38">
        <v>16274</v>
      </c>
      <c r="B204" s="38" t="s">
        <v>600</v>
      </c>
      <c r="C204" s="38" t="s">
        <v>601</v>
      </c>
      <c r="D204" s="38" t="s">
        <v>602</v>
      </c>
      <c r="E204" s="38" t="s">
        <v>603</v>
      </c>
      <c r="F204" s="38">
        <v>79839</v>
      </c>
      <c r="G204" s="31">
        <v>13</v>
      </c>
      <c r="H204" s="31" t="s">
        <v>1</v>
      </c>
      <c r="I204" s="31"/>
      <c r="J204" s="31"/>
      <c r="K204" s="31"/>
      <c r="L204" s="38" t="s">
        <v>205</v>
      </c>
      <c r="M204" s="31">
        <v>49</v>
      </c>
      <c r="N204" s="31">
        <v>0</v>
      </c>
      <c r="O204" s="31">
        <v>49</v>
      </c>
      <c r="P204" s="38" t="s">
        <v>3</v>
      </c>
      <c r="Q204" s="64">
        <v>500000</v>
      </c>
      <c r="R204" s="32"/>
      <c r="S204" s="61" t="s">
        <v>107</v>
      </c>
      <c r="T204" s="38" t="s">
        <v>199</v>
      </c>
      <c r="U204" s="38" t="s">
        <v>68</v>
      </c>
      <c r="V204" s="38">
        <v>111</v>
      </c>
      <c r="W204" s="38">
        <v>17</v>
      </c>
      <c r="X204" s="38">
        <v>4</v>
      </c>
      <c r="Y204" s="38">
        <v>8</v>
      </c>
      <c r="Z204" s="38">
        <v>2</v>
      </c>
      <c r="AB204" s="38">
        <f>SUM(V204:AA204)</f>
        <v>142</v>
      </c>
      <c r="AC204" s="85" t="s">
        <v>217</v>
      </c>
      <c r="AD204" s="85" t="s">
        <v>217</v>
      </c>
      <c r="AE204" s="85" t="s">
        <v>217</v>
      </c>
      <c r="AF204" s="145" t="s">
        <v>629</v>
      </c>
      <c r="AG204" s="38">
        <v>48229950300</v>
      </c>
      <c r="AH204" s="38" t="s">
        <v>110</v>
      </c>
      <c r="AI204" s="31">
        <v>0</v>
      </c>
      <c r="AJ204" s="31">
        <v>44.1</v>
      </c>
      <c r="AK204" s="36">
        <f>(54+62+76)/3</f>
        <v>64</v>
      </c>
      <c r="AL204" s="70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</row>
    <row r="205" spans="1:122" s="38" customFormat="1" ht="15">
      <c r="A205" s="38">
        <v>16045</v>
      </c>
      <c r="B205" s="38" t="s">
        <v>604</v>
      </c>
      <c r="C205" s="38" t="s">
        <v>605</v>
      </c>
      <c r="D205" s="38" t="s">
        <v>25</v>
      </c>
      <c r="E205" s="38" t="s">
        <v>25</v>
      </c>
      <c r="F205" s="38">
        <v>79938</v>
      </c>
      <c r="G205" s="31">
        <v>13</v>
      </c>
      <c r="H205" s="31" t="s">
        <v>1</v>
      </c>
      <c r="I205" s="31"/>
      <c r="J205" s="31"/>
      <c r="K205" s="31"/>
      <c r="L205" s="38" t="s">
        <v>205</v>
      </c>
      <c r="M205" s="31">
        <v>48</v>
      </c>
      <c r="N205" s="31">
        <v>0</v>
      </c>
      <c r="O205" s="31">
        <v>48</v>
      </c>
      <c r="P205" s="38" t="s">
        <v>3</v>
      </c>
      <c r="Q205" s="64">
        <v>550000</v>
      </c>
      <c r="R205" s="32"/>
      <c r="S205" s="61" t="s">
        <v>107</v>
      </c>
      <c r="T205" s="38" t="s">
        <v>606</v>
      </c>
      <c r="U205" s="38" t="s">
        <v>40</v>
      </c>
      <c r="V205" s="38">
        <v>116</v>
      </c>
      <c r="W205" s="38">
        <v>0</v>
      </c>
      <c r="X205" s="38">
        <v>4</v>
      </c>
      <c r="Y205" s="38">
        <v>8</v>
      </c>
      <c r="Z205" s="38">
        <v>4</v>
      </c>
      <c r="AB205" s="38">
        <f>SUM(V205:AA205)</f>
        <v>132</v>
      </c>
      <c r="AC205" s="85" t="s">
        <v>217</v>
      </c>
      <c r="AD205" s="85" t="s">
        <v>217</v>
      </c>
      <c r="AE205" s="85" t="s">
        <v>237</v>
      </c>
      <c r="AG205" s="38">
        <v>48141010341</v>
      </c>
      <c r="AH205" s="38" t="s">
        <v>124</v>
      </c>
      <c r="AI205" s="31">
        <v>7</v>
      </c>
      <c r="AJ205" s="31">
        <v>18</v>
      </c>
      <c r="AK205" s="36">
        <f>(77+64+70)/3</f>
        <v>70.33333333333333</v>
      </c>
      <c r="AL205" s="70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</row>
    <row r="206" spans="1:122" s="130" customFormat="1" ht="15" outlineLevel="1">
      <c r="A206" s="41" t="s">
        <v>101</v>
      </c>
      <c r="B206" s="109"/>
      <c r="C206" s="54">
        <v>500000</v>
      </c>
      <c r="D206" s="127"/>
      <c r="E206" s="127"/>
      <c r="F206" s="127"/>
      <c r="G206" s="127"/>
      <c r="H206" s="127"/>
      <c r="I206" s="128"/>
      <c r="J206" s="127"/>
      <c r="K206" s="127"/>
      <c r="L206" s="127"/>
      <c r="M206" s="55"/>
      <c r="N206" s="55"/>
      <c r="O206" s="55"/>
      <c r="P206" s="44" t="s">
        <v>84</v>
      </c>
      <c r="Q206" s="129">
        <f>SUM(Q204:Q205)</f>
        <v>1050000</v>
      </c>
      <c r="T206" s="127"/>
      <c r="U206" s="127"/>
      <c r="V206" s="127"/>
      <c r="W206" s="127"/>
      <c r="X206" s="127"/>
      <c r="Y206" s="127"/>
      <c r="Z206" s="127"/>
      <c r="AA206" s="127"/>
      <c r="AB206" s="38"/>
      <c r="AC206" s="85"/>
      <c r="AD206" s="85"/>
      <c r="AE206" s="85"/>
      <c r="AG206" s="127"/>
      <c r="AH206" s="131"/>
      <c r="AI206" s="131"/>
      <c r="AJ206" s="56"/>
      <c r="AK206" s="57"/>
      <c r="AL206" s="132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</row>
    <row r="207" spans="1:122" s="38" customFormat="1" ht="12" customHeight="1">
      <c r="A207" s="48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58"/>
      <c r="Q207" s="133"/>
      <c r="R207" s="134"/>
      <c r="S207" s="134"/>
      <c r="V207" s="31"/>
      <c r="AC207" s="85"/>
      <c r="AD207" s="85"/>
      <c r="AE207" s="85"/>
      <c r="AG207" s="59"/>
      <c r="AH207" s="31"/>
      <c r="AI207" s="31"/>
      <c r="AJ207" s="60"/>
      <c r="AK207" s="36"/>
      <c r="AL207" s="39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</row>
    <row r="208" spans="1:122" s="38" customFormat="1" ht="15" customHeight="1">
      <c r="A208" s="51" t="str">
        <f>CONCATENATE("Region ",G209,"/",H209)</f>
        <v>Region 13/Urban</v>
      </c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135"/>
      <c r="R208" s="136"/>
      <c r="S208" s="136"/>
      <c r="V208" s="31"/>
      <c r="AC208" s="85"/>
      <c r="AD208" s="85"/>
      <c r="AE208" s="85"/>
      <c r="AG208" s="59"/>
      <c r="AH208" s="31"/>
      <c r="AI208" s="31"/>
      <c r="AJ208" s="60"/>
      <c r="AK208" s="36"/>
      <c r="AL208" s="39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</row>
    <row r="209" spans="1:122" s="38" customFormat="1" ht="15">
      <c r="A209" s="38">
        <v>16273</v>
      </c>
      <c r="B209" s="38" t="s">
        <v>200</v>
      </c>
      <c r="C209" s="38" t="s">
        <v>201</v>
      </c>
      <c r="D209" s="38" t="s">
        <v>25</v>
      </c>
      <c r="E209" s="38" t="s">
        <v>25</v>
      </c>
      <c r="F209" s="38">
        <v>79936</v>
      </c>
      <c r="G209" s="31">
        <v>13</v>
      </c>
      <c r="H209" s="31" t="s">
        <v>5</v>
      </c>
      <c r="I209" s="31"/>
      <c r="J209" s="31"/>
      <c r="K209" s="31"/>
      <c r="L209" s="38" t="s">
        <v>205</v>
      </c>
      <c r="M209" s="31">
        <v>48</v>
      </c>
      <c r="N209" s="31">
        <v>4</v>
      </c>
      <c r="O209" s="31">
        <v>52</v>
      </c>
      <c r="P209" s="38" t="s">
        <v>3</v>
      </c>
      <c r="Q209" s="64">
        <v>587400</v>
      </c>
      <c r="R209" s="32"/>
      <c r="S209" s="61" t="s">
        <v>107</v>
      </c>
      <c r="T209" s="38" t="s">
        <v>199</v>
      </c>
      <c r="U209" s="38" t="s">
        <v>68</v>
      </c>
      <c r="V209" s="38">
        <v>123</v>
      </c>
      <c r="W209" s="38">
        <v>17</v>
      </c>
      <c r="X209" s="38">
        <v>4</v>
      </c>
      <c r="Y209" s="38">
        <v>8</v>
      </c>
      <c r="Z209" s="38">
        <v>4</v>
      </c>
      <c r="AB209" s="38">
        <f>SUM(V209:AA209)</f>
        <v>156</v>
      </c>
      <c r="AC209" s="85" t="s">
        <v>217</v>
      </c>
      <c r="AD209" s="85" t="s">
        <v>217</v>
      </c>
      <c r="AE209" s="85" t="s">
        <v>217</v>
      </c>
      <c r="AF209" s="38" t="s">
        <v>627</v>
      </c>
      <c r="AG209" s="38">
        <v>48141010323</v>
      </c>
      <c r="AH209" s="38" t="s">
        <v>124</v>
      </c>
      <c r="AI209" s="31">
        <v>7</v>
      </c>
      <c r="AJ209" s="31">
        <v>9.2</v>
      </c>
      <c r="AK209" s="36">
        <f>(83+77+85)/3</f>
        <v>81.66666666666667</v>
      </c>
      <c r="AL209" s="70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</row>
    <row r="210" spans="1:122" s="38" customFormat="1" ht="15">
      <c r="A210" s="38">
        <v>16048</v>
      </c>
      <c r="B210" s="38" t="s">
        <v>607</v>
      </c>
      <c r="C210" s="38" t="s">
        <v>608</v>
      </c>
      <c r="D210" s="38" t="s">
        <v>25</v>
      </c>
      <c r="E210" s="38" t="s">
        <v>25</v>
      </c>
      <c r="F210" s="38">
        <v>79938</v>
      </c>
      <c r="G210" s="31">
        <v>13</v>
      </c>
      <c r="H210" s="31" t="s">
        <v>5</v>
      </c>
      <c r="I210" s="31"/>
      <c r="J210" s="31"/>
      <c r="K210" s="31"/>
      <c r="L210" s="38" t="s">
        <v>205</v>
      </c>
      <c r="M210" s="31">
        <v>116</v>
      </c>
      <c r="N210" s="31">
        <v>36</v>
      </c>
      <c r="O210" s="31">
        <v>152</v>
      </c>
      <c r="P210" s="38" t="s">
        <v>3</v>
      </c>
      <c r="Q210" s="64">
        <v>1500000</v>
      </c>
      <c r="R210" s="32"/>
      <c r="S210" s="61" t="s">
        <v>107</v>
      </c>
      <c r="T210" s="38" t="s">
        <v>606</v>
      </c>
      <c r="U210" s="38" t="s">
        <v>40</v>
      </c>
      <c r="V210" s="38">
        <v>123</v>
      </c>
      <c r="W210" s="38">
        <v>17</v>
      </c>
      <c r="X210" s="38">
        <v>4</v>
      </c>
      <c r="Y210" s="38">
        <v>8</v>
      </c>
      <c r="Z210" s="38">
        <v>4</v>
      </c>
      <c r="AB210" s="38">
        <f>SUM(V210:AA210)</f>
        <v>156</v>
      </c>
      <c r="AC210" s="85" t="s">
        <v>217</v>
      </c>
      <c r="AD210" s="85" t="s">
        <v>217</v>
      </c>
      <c r="AE210" s="85" t="s">
        <v>237</v>
      </c>
      <c r="AF210" s="38" t="s">
        <v>627</v>
      </c>
      <c r="AG210" s="38">
        <v>48141010341</v>
      </c>
      <c r="AH210" s="38" t="s">
        <v>124</v>
      </c>
      <c r="AI210" s="31">
        <v>7</v>
      </c>
      <c r="AJ210" s="31">
        <v>18</v>
      </c>
      <c r="AK210" s="36">
        <f>(90+85+80)/3</f>
        <v>85</v>
      </c>
      <c r="AL210" s="70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</row>
    <row r="211" spans="1:122" s="38" customFormat="1" ht="15">
      <c r="A211" s="38">
        <v>16268</v>
      </c>
      <c r="B211" s="38" t="s">
        <v>202</v>
      </c>
      <c r="C211" s="38" t="s">
        <v>609</v>
      </c>
      <c r="D211" s="38" t="s">
        <v>203</v>
      </c>
      <c r="E211" s="38" t="s">
        <v>25</v>
      </c>
      <c r="F211" s="38">
        <v>79928</v>
      </c>
      <c r="G211" s="31">
        <v>13</v>
      </c>
      <c r="H211" s="31" t="s">
        <v>5</v>
      </c>
      <c r="I211" s="31"/>
      <c r="J211" s="31"/>
      <c r="K211" s="31"/>
      <c r="L211" s="38" t="s">
        <v>205</v>
      </c>
      <c r="M211" s="31">
        <v>134</v>
      </c>
      <c r="N211" s="31">
        <v>14</v>
      </c>
      <c r="O211" s="31">
        <v>148</v>
      </c>
      <c r="P211" s="38" t="s">
        <v>3</v>
      </c>
      <c r="Q211" s="64">
        <v>1500000</v>
      </c>
      <c r="R211" s="32"/>
      <c r="S211" s="61" t="s">
        <v>107</v>
      </c>
      <c r="T211" s="38" t="s">
        <v>199</v>
      </c>
      <c r="U211" s="38" t="s">
        <v>68</v>
      </c>
      <c r="V211" s="38">
        <v>119</v>
      </c>
      <c r="W211" s="38">
        <v>17</v>
      </c>
      <c r="X211" s="38">
        <v>4</v>
      </c>
      <c r="Y211" s="38">
        <v>8</v>
      </c>
      <c r="Z211" s="38">
        <v>4</v>
      </c>
      <c r="AB211" s="38">
        <f>SUM(V211:AA211)</f>
        <v>152</v>
      </c>
      <c r="AC211" s="85" t="s">
        <v>217</v>
      </c>
      <c r="AD211" s="85" t="s">
        <v>225</v>
      </c>
      <c r="AE211" s="85" t="s">
        <v>217</v>
      </c>
      <c r="AG211" s="38">
        <v>48141010342</v>
      </c>
      <c r="AH211" s="38" t="s">
        <v>124</v>
      </c>
      <c r="AI211" s="31">
        <v>7</v>
      </c>
      <c r="AJ211" s="31">
        <v>10.9</v>
      </c>
      <c r="AK211" s="36">
        <f>(82+68+68)/3</f>
        <v>72.66666666666667</v>
      </c>
      <c r="AL211" s="39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</row>
    <row r="212" spans="1:122" s="38" customFormat="1" ht="15">
      <c r="A212" s="38">
        <v>16286</v>
      </c>
      <c r="B212" s="38" t="s">
        <v>610</v>
      </c>
      <c r="C212" s="38" t="s">
        <v>611</v>
      </c>
      <c r="D212" s="38" t="s">
        <v>25</v>
      </c>
      <c r="E212" s="38" t="s">
        <v>25</v>
      </c>
      <c r="F212" s="38">
        <v>79936</v>
      </c>
      <c r="G212" s="31">
        <v>13</v>
      </c>
      <c r="H212" s="31" t="s">
        <v>5</v>
      </c>
      <c r="I212" s="31"/>
      <c r="J212" s="31"/>
      <c r="K212" s="31" t="s">
        <v>107</v>
      </c>
      <c r="L212" s="38" t="s">
        <v>205</v>
      </c>
      <c r="M212" s="31">
        <v>74</v>
      </c>
      <c r="N212" s="31">
        <v>8</v>
      </c>
      <c r="O212" s="31">
        <v>82</v>
      </c>
      <c r="P212" s="38" t="s">
        <v>3</v>
      </c>
      <c r="Q212" s="64">
        <v>916950</v>
      </c>
      <c r="R212" s="32"/>
      <c r="S212" s="32"/>
      <c r="T212" s="38" t="s">
        <v>199</v>
      </c>
      <c r="U212" s="38" t="s">
        <v>68</v>
      </c>
      <c r="V212" s="38">
        <v>123</v>
      </c>
      <c r="W212" s="38">
        <v>17</v>
      </c>
      <c r="X212" s="38">
        <v>4</v>
      </c>
      <c r="Y212" s="38">
        <v>0</v>
      </c>
      <c r="Z212" s="38">
        <v>4</v>
      </c>
      <c r="AB212" s="38">
        <f>SUM(V212:AA212)</f>
        <v>148</v>
      </c>
      <c r="AC212" s="85" t="s">
        <v>225</v>
      </c>
      <c r="AD212" s="85" t="s">
        <v>225</v>
      </c>
      <c r="AE212" s="85" t="s">
        <v>225</v>
      </c>
      <c r="AG212" s="38">
        <v>48141010323</v>
      </c>
      <c r="AH212" s="38" t="s">
        <v>124</v>
      </c>
      <c r="AI212" s="31">
        <v>7</v>
      </c>
      <c r="AJ212" s="31">
        <v>9.2</v>
      </c>
      <c r="AK212" s="36">
        <f>(79+84)/2</f>
        <v>81.5</v>
      </c>
      <c r="AL212" s="39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</row>
    <row r="213" spans="1:122" s="35" customFormat="1" ht="15">
      <c r="A213" s="38">
        <v>16052</v>
      </c>
      <c r="B213" s="35" t="s">
        <v>41</v>
      </c>
      <c r="C213" s="35" t="s">
        <v>612</v>
      </c>
      <c r="D213" s="35" t="s">
        <v>25</v>
      </c>
      <c r="E213" s="35" t="s">
        <v>25</v>
      </c>
      <c r="F213" s="35">
        <v>79928</v>
      </c>
      <c r="G213" s="28">
        <v>13</v>
      </c>
      <c r="H213" s="28" t="s">
        <v>5</v>
      </c>
      <c r="I213" s="28"/>
      <c r="J213" s="28"/>
      <c r="K213" s="28"/>
      <c r="L213" s="35" t="s">
        <v>205</v>
      </c>
      <c r="M213" s="28">
        <v>130</v>
      </c>
      <c r="N213" s="28">
        <v>22</v>
      </c>
      <c r="O213" s="28">
        <v>152</v>
      </c>
      <c r="P213" s="35" t="s">
        <v>3</v>
      </c>
      <c r="Q213" s="68">
        <v>1500000</v>
      </c>
      <c r="R213" s="29"/>
      <c r="S213" s="29"/>
      <c r="T213" s="35" t="s">
        <v>606</v>
      </c>
      <c r="U213" s="35" t="s">
        <v>40</v>
      </c>
      <c r="V213" s="35">
        <v>123</v>
      </c>
      <c r="W213" s="35">
        <v>0</v>
      </c>
      <c r="X213" s="35">
        <v>4</v>
      </c>
      <c r="Y213" s="35">
        <v>8</v>
      </c>
      <c r="Z213" s="35">
        <v>4</v>
      </c>
      <c r="AB213" s="38">
        <f>SUM(V213:AA213)</f>
        <v>139</v>
      </c>
      <c r="AC213" s="85" t="s">
        <v>225</v>
      </c>
      <c r="AD213" s="85" t="s">
        <v>225</v>
      </c>
      <c r="AE213" s="85" t="s">
        <v>237</v>
      </c>
      <c r="AG213" s="35">
        <v>48141010342</v>
      </c>
      <c r="AH213" s="35" t="s">
        <v>124</v>
      </c>
      <c r="AI213" s="28">
        <v>7</v>
      </c>
      <c r="AJ213" s="28">
        <v>10.9</v>
      </c>
      <c r="AK213" s="30">
        <f>(83+89+85)/3</f>
        <v>85.66666666666667</v>
      </c>
      <c r="AL213" s="69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</row>
    <row r="214" spans="1:122" s="116" customFormat="1" ht="15" outlineLevel="1">
      <c r="A214" s="41" t="s">
        <v>101</v>
      </c>
      <c r="B214" s="109"/>
      <c r="C214" s="54">
        <v>2655477.87</v>
      </c>
      <c r="D214" s="111"/>
      <c r="E214" s="111"/>
      <c r="F214" s="111"/>
      <c r="G214" s="111"/>
      <c r="H214" s="111"/>
      <c r="I214" s="125"/>
      <c r="J214" s="111"/>
      <c r="K214" s="111"/>
      <c r="L214" s="111"/>
      <c r="M214" s="42"/>
      <c r="N214" s="42"/>
      <c r="O214" s="42"/>
      <c r="P214" s="44" t="s">
        <v>84</v>
      </c>
      <c r="Q214" s="112">
        <f>SUM(Q209:Q213)</f>
        <v>6004350</v>
      </c>
      <c r="T214" s="111"/>
      <c r="U214" s="111"/>
      <c r="V214" s="111"/>
      <c r="W214" s="111"/>
      <c r="X214" s="111"/>
      <c r="Y214" s="111"/>
      <c r="Z214" s="111"/>
      <c r="AA214" s="111"/>
      <c r="AB214" s="38"/>
      <c r="AC214" s="85"/>
      <c r="AD214" s="45"/>
      <c r="AE214" s="45"/>
      <c r="AG214" s="111"/>
      <c r="AH214" s="111"/>
      <c r="AI214" s="114"/>
      <c r="AJ214" s="114"/>
      <c r="AK214" s="45"/>
      <c r="AL214" s="45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</row>
    <row r="215" spans="1:122" s="35" customFormat="1" ht="15.75" thickBot="1">
      <c r="A215" s="48" t="s">
        <v>102</v>
      </c>
      <c r="B215" s="3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R215" s="28"/>
      <c r="S215" s="28"/>
      <c r="AC215" s="53"/>
      <c r="AD215" s="53"/>
      <c r="AE215" s="53"/>
      <c r="AI215" s="28"/>
      <c r="AJ215" s="28"/>
      <c r="AK215" s="50"/>
      <c r="AL215" s="28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</row>
    <row r="216" spans="1:122" s="38" customFormat="1" ht="15.75" thickBot="1">
      <c r="A216" s="71"/>
      <c r="B216" s="72" t="s">
        <v>613</v>
      </c>
      <c r="C216" s="138">
        <f>SUM(C35:C214)-C36</f>
        <v>66056727.2</v>
      </c>
      <c r="D216" s="139"/>
      <c r="E216" s="140" t="s">
        <v>204</v>
      </c>
      <c r="F216" s="73"/>
      <c r="G216" s="74">
        <f>COUNTIF(A8:A213,"&gt;1")</f>
        <v>127</v>
      </c>
      <c r="H216" s="73"/>
      <c r="I216" s="73"/>
      <c r="J216" s="73"/>
      <c r="K216" s="73"/>
      <c r="L216" s="73"/>
      <c r="M216" s="73"/>
      <c r="N216" s="73"/>
      <c r="O216" s="73"/>
      <c r="P216" s="72" t="s">
        <v>84</v>
      </c>
      <c r="Q216" s="75">
        <f>SUMIF(P8:P214,"Total HTCs Requested",Q8:Q213)</f>
        <v>126512326.713956</v>
      </c>
      <c r="R216" s="76"/>
      <c r="S216" s="76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74"/>
      <c r="AD216" s="74"/>
      <c r="AE216" s="74"/>
      <c r="AF216" s="139"/>
      <c r="AG216" s="139"/>
      <c r="AH216" s="73"/>
      <c r="AI216" s="73"/>
      <c r="AJ216" s="77"/>
      <c r="AK216" s="73"/>
      <c r="AL216" s="141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</row>
    <row r="217" spans="3:32" ht="15.75" thickBot="1">
      <c r="C217" s="18"/>
      <c r="U217" s="89" t="s">
        <v>235</v>
      </c>
      <c r="V217" s="90"/>
      <c r="W217" s="91"/>
      <c r="X217" s="91"/>
      <c r="Y217" s="91"/>
      <c r="Z217" s="91"/>
      <c r="AA217" s="92"/>
      <c r="AB217" s="92"/>
      <c r="AD217" s="88"/>
      <c r="AF217" s="86">
        <f>C216-65345233</f>
        <v>711494.200000003</v>
      </c>
    </row>
    <row r="218" spans="17:32" ht="15.75" thickBot="1">
      <c r="Q218" s="146"/>
      <c r="R218" s="146"/>
      <c r="U218" s="89" t="s">
        <v>236</v>
      </c>
      <c r="V218" s="93"/>
      <c r="W218" s="93"/>
      <c r="X218" s="91"/>
      <c r="Y218" s="91"/>
      <c r="Z218" s="91"/>
      <c r="AA218" s="92"/>
      <c r="AB218" s="92"/>
      <c r="AD218" s="16"/>
      <c r="AF218" s="87">
        <f>COUNTIF(AF8:AF216,"Recommended")</f>
        <v>64</v>
      </c>
    </row>
    <row r="219" spans="17:18" ht="15">
      <c r="Q219" s="146"/>
      <c r="R219" s="146"/>
    </row>
  </sheetData>
  <sheetProtection/>
  <mergeCells count="7">
    <mergeCell ref="Q218:R218"/>
    <mergeCell ref="Q219:R219"/>
    <mergeCell ref="A4:D4"/>
    <mergeCell ref="G5:R5"/>
    <mergeCell ref="U5:AI5"/>
    <mergeCell ref="E4:N4"/>
    <mergeCell ref="P1:AI4"/>
  </mergeCells>
  <printOptions horizontalCentered="1"/>
  <pageMargins left="0.5" right="0.5" top="0.5" bottom="0.5" header="0.3" footer="0.3"/>
  <pageSetup fitToHeight="3" fitToWidth="1" horizontalDpi="600" verticalDpi="6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3" width="15.7109375" style="0" customWidth="1"/>
    <col min="4" max="5" width="15.7109375" style="5" customWidth="1"/>
    <col min="6" max="8" width="15.7109375" style="0" customWidth="1"/>
  </cols>
  <sheetData>
    <row r="1" spans="1:9" ht="114">
      <c r="A1" s="19" t="s">
        <v>218</v>
      </c>
      <c r="B1" s="19" t="s">
        <v>219</v>
      </c>
      <c r="C1" s="19" t="s">
        <v>220</v>
      </c>
      <c r="D1" s="19" t="s">
        <v>623</v>
      </c>
      <c r="E1" s="19" t="s">
        <v>624</v>
      </c>
      <c r="F1" s="19" t="s">
        <v>221</v>
      </c>
      <c r="G1" s="20" t="s">
        <v>222</v>
      </c>
      <c r="H1" s="19" t="s">
        <v>223</v>
      </c>
      <c r="I1" s="5"/>
    </row>
    <row r="2" spans="1:97" s="38" customFormat="1" ht="15">
      <c r="A2" s="79">
        <v>16018</v>
      </c>
      <c r="B2" s="80">
        <v>4</v>
      </c>
      <c r="C2" s="80">
        <v>7</v>
      </c>
      <c r="D2" s="80">
        <v>3.9</v>
      </c>
      <c r="E2" s="81">
        <f>(86+88+84)/3</f>
        <v>86</v>
      </c>
      <c r="F2" s="83" t="s">
        <v>620</v>
      </c>
      <c r="G2" s="82" t="s">
        <v>625</v>
      </c>
      <c r="H2" s="83" t="s">
        <v>224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</row>
    <row r="3" spans="1:97" s="35" customFormat="1" ht="15">
      <c r="A3" s="84">
        <v>16170</v>
      </c>
      <c r="B3" s="80">
        <v>4</v>
      </c>
      <c r="C3" s="80">
        <v>7</v>
      </c>
      <c r="D3" s="80">
        <v>3.9</v>
      </c>
      <c r="E3" s="81">
        <f>(86+88+84)/3</f>
        <v>86</v>
      </c>
      <c r="F3" s="83" t="s">
        <v>621</v>
      </c>
      <c r="G3" s="82" t="s">
        <v>625</v>
      </c>
      <c r="H3" s="83" t="s">
        <v>224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27" customFormat="1" ht="15">
      <c r="A4" s="84">
        <v>16184</v>
      </c>
      <c r="B4" s="80">
        <v>4</v>
      </c>
      <c r="C4" s="80">
        <v>7</v>
      </c>
      <c r="D4" s="80">
        <v>3.9</v>
      </c>
      <c r="E4" s="81">
        <f>(86+88+84)/3</f>
        <v>86</v>
      </c>
      <c r="F4" s="83" t="s">
        <v>622</v>
      </c>
      <c r="G4" s="82" t="s">
        <v>625</v>
      </c>
      <c r="H4" s="83" t="s">
        <v>224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4:5" ht="15">
      <c r="D5"/>
      <c r="E5"/>
    </row>
    <row r="6" spans="4:5" ht="15">
      <c r="D6"/>
      <c r="E6"/>
    </row>
    <row r="7" spans="4:5" ht="15">
      <c r="D7"/>
      <c r="E7"/>
    </row>
    <row r="8" spans="4:5" ht="15">
      <c r="D8"/>
      <c r="E8"/>
    </row>
    <row r="9" spans="4:5" ht="15">
      <c r="D9"/>
      <c r="E9"/>
    </row>
    <row r="10" spans="4:5" ht="15">
      <c r="D10"/>
      <c r="E10"/>
    </row>
    <row r="11" spans="4:5" ht="15">
      <c r="D11"/>
      <c r="E11"/>
    </row>
    <row r="12" spans="4:5" ht="15">
      <c r="D12"/>
      <c r="E12"/>
    </row>
    <row r="13" spans="4:5" ht="15">
      <c r="D13"/>
      <c r="E13"/>
    </row>
    <row r="14" spans="4:5" ht="15">
      <c r="D14"/>
      <c r="E14"/>
    </row>
    <row r="15" spans="4:5" ht="15">
      <c r="D15"/>
      <c r="E15"/>
    </row>
    <row r="16" spans="4:5" ht="15">
      <c r="D16"/>
      <c r="E16"/>
    </row>
    <row r="17" spans="4:5" ht="15">
      <c r="D17"/>
      <c r="E17"/>
    </row>
    <row r="18" spans="4:5" ht="15">
      <c r="D18"/>
      <c r="E18"/>
    </row>
    <row r="19" spans="4:5" ht="15">
      <c r="D19"/>
      <c r="E19"/>
    </row>
    <row r="20" spans="4:5" ht="15">
      <c r="D20"/>
      <c r="E20"/>
    </row>
    <row r="21" spans="4:5" ht="15">
      <c r="D21"/>
      <c r="E21"/>
    </row>
    <row r="22" spans="4:5" ht="15">
      <c r="D22"/>
      <c r="E22"/>
    </row>
    <row r="23" spans="4:5" ht="15">
      <c r="D23"/>
      <c r="E23"/>
    </row>
    <row r="24" spans="4:5" ht="15">
      <c r="D24"/>
      <c r="E24"/>
    </row>
    <row r="25" spans="4:5" ht="15">
      <c r="D25"/>
      <c r="E25"/>
    </row>
    <row r="26" spans="4:5" ht="15">
      <c r="D26"/>
      <c r="E26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pans="4:5" ht="15">
      <c r="D31"/>
      <c r="E31"/>
    </row>
    <row r="32" spans="4:5" ht="15">
      <c r="D32"/>
      <c r="E32"/>
    </row>
    <row r="33" spans="4:5" ht="15">
      <c r="D33"/>
      <c r="E33"/>
    </row>
    <row r="34" spans="4:5" ht="15">
      <c r="D34"/>
      <c r="E34"/>
    </row>
    <row r="35" spans="4:5" ht="15">
      <c r="D35"/>
      <c r="E35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  <row r="47" spans="1:9" ht="15">
      <c r="A47" s="6"/>
      <c r="B47" s="8"/>
      <c r="C47" s="10"/>
      <c r="D47" s="10"/>
      <c r="E47" s="10"/>
      <c r="F47" s="11"/>
      <c r="G47" s="11"/>
      <c r="H47" s="11"/>
      <c r="I47" s="11"/>
    </row>
    <row r="48" spans="1:9" ht="15">
      <c r="A48" s="12"/>
      <c r="B48" s="8"/>
      <c r="C48" s="10"/>
      <c r="D48" s="10"/>
      <c r="E48" s="10"/>
      <c r="F48" s="11"/>
      <c r="G48" s="11"/>
      <c r="H48" s="11"/>
      <c r="I48" s="11"/>
    </row>
    <row r="49" spans="1:9" ht="15">
      <c r="A49" s="12"/>
      <c r="B49" s="8"/>
      <c r="C49" s="10"/>
      <c r="D49" s="10"/>
      <c r="E49" s="10"/>
      <c r="F49" s="11"/>
      <c r="G49" s="11"/>
      <c r="H49" s="11"/>
      <c r="I49" s="11"/>
    </row>
    <row r="50" spans="1:9" ht="15">
      <c r="A50" s="6"/>
      <c r="B50" s="8"/>
      <c r="C50" s="10"/>
      <c r="D50" s="10"/>
      <c r="E50" s="10"/>
      <c r="F50" s="11"/>
      <c r="G50" s="11"/>
      <c r="H50" s="11"/>
      <c r="I50" s="11"/>
    </row>
    <row r="51" spans="1:9" ht="15">
      <c r="A51" s="6"/>
      <c r="B51" s="8"/>
      <c r="C51" s="10"/>
      <c r="D51" s="10"/>
      <c r="E51" s="10"/>
      <c r="F51" s="11"/>
      <c r="G51" s="11"/>
      <c r="H51" s="11"/>
      <c r="I51" s="11"/>
    </row>
    <row r="52" spans="1:9" ht="15">
      <c r="A52" s="6"/>
      <c r="B52" s="8"/>
      <c r="C52" s="10"/>
      <c r="D52" s="10"/>
      <c r="E52" s="10"/>
      <c r="F52" s="11"/>
      <c r="G52" s="11"/>
      <c r="H52" s="11"/>
      <c r="I52" s="11"/>
    </row>
    <row r="53" spans="1:9" ht="15">
      <c r="A53" s="6"/>
      <c r="B53" s="8"/>
      <c r="C53" s="10"/>
      <c r="D53" s="10"/>
      <c r="E53" s="10"/>
      <c r="F53" s="11"/>
      <c r="G53" s="11"/>
      <c r="H53" s="11"/>
      <c r="I53" s="11"/>
    </row>
    <row r="54" spans="1:9" ht="15">
      <c r="A54" s="6"/>
      <c r="B54" s="8"/>
      <c r="C54" s="10"/>
      <c r="D54" s="10"/>
      <c r="E54" s="10"/>
      <c r="F54" s="11"/>
      <c r="G54" s="11"/>
      <c r="H54" s="11"/>
      <c r="I54" s="11"/>
    </row>
    <row r="55" spans="1:9" ht="15">
      <c r="A55" s="6"/>
      <c r="B55" s="8"/>
      <c r="C55" s="10"/>
      <c r="D55" s="10"/>
      <c r="E55" s="10"/>
      <c r="F55" s="11"/>
      <c r="G55" s="11"/>
      <c r="H55" s="11"/>
      <c r="I55" s="11"/>
    </row>
    <row r="56" spans="1:9" ht="15">
      <c r="A56" s="6"/>
      <c r="B56" s="8"/>
      <c r="C56" s="10"/>
      <c r="D56" s="10"/>
      <c r="E56" s="10"/>
      <c r="F56" s="11"/>
      <c r="G56" s="11"/>
      <c r="H56" s="11"/>
      <c r="I56" s="11"/>
    </row>
    <row r="57" spans="1:9" ht="15">
      <c r="A57" s="6"/>
      <c r="B57" s="8"/>
      <c r="C57" s="10"/>
      <c r="D57" s="10"/>
      <c r="E57" s="10"/>
      <c r="F57" s="11"/>
      <c r="G57" s="11"/>
      <c r="H57" s="11"/>
      <c r="I57" s="11"/>
    </row>
    <row r="58" spans="1:9" ht="15">
      <c r="A58" s="6"/>
      <c r="B58" s="8"/>
      <c r="C58" s="10"/>
      <c r="D58" s="10"/>
      <c r="E58" s="10"/>
      <c r="F58" s="11"/>
      <c r="G58" s="11"/>
      <c r="H58" s="11"/>
      <c r="I58" s="11"/>
    </row>
    <row r="59" spans="1:9" ht="15">
      <c r="A59" s="6"/>
      <c r="B59" s="8"/>
      <c r="C59" s="10"/>
      <c r="D59" s="10"/>
      <c r="E59" s="10"/>
      <c r="F59" s="11"/>
      <c r="G59" s="11"/>
      <c r="H59" s="11"/>
      <c r="I59" s="11"/>
    </row>
    <row r="60" spans="1:9" ht="15">
      <c r="A60" s="6"/>
      <c r="B60" s="8"/>
      <c r="C60" s="10"/>
      <c r="D60" s="10"/>
      <c r="E60" s="10"/>
      <c r="F60" s="11"/>
      <c r="G60" s="11"/>
      <c r="H60" s="11"/>
      <c r="I60" s="11"/>
    </row>
    <row r="61" spans="1:9" ht="15">
      <c r="A61" s="6"/>
      <c r="B61" s="8"/>
      <c r="C61" s="10"/>
      <c r="D61" s="10"/>
      <c r="E61" s="10"/>
      <c r="F61" s="11"/>
      <c r="G61" s="11"/>
      <c r="H61" s="11"/>
      <c r="I61" s="11"/>
    </row>
    <row r="62" spans="1:9" ht="15">
      <c r="A62" s="6"/>
      <c r="B62" s="8"/>
      <c r="C62" s="10"/>
      <c r="D62" s="10"/>
      <c r="E62" s="10"/>
      <c r="F62" s="11"/>
      <c r="G62" s="11"/>
      <c r="H62" s="11"/>
      <c r="I62" s="11"/>
    </row>
    <row r="63" spans="1:9" ht="15">
      <c r="A63" s="6"/>
      <c r="B63" s="8"/>
      <c r="C63" s="10"/>
      <c r="D63" s="10"/>
      <c r="E63" s="10"/>
      <c r="F63" s="11"/>
      <c r="G63" s="11"/>
      <c r="H63" s="11"/>
      <c r="I63" s="11"/>
    </row>
    <row r="64" spans="1:9" ht="15">
      <c r="A64" s="7"/>
      <c r="B64" s="9"/>
      <c r="C64" s="5"/>
      <c r="F64" s="5"/>
      <c r="G64" s="5"/>
      <c r="H64" s="5"/>
      <c r="I64" s="5"/>
    </row>
    <row r="65" spans="1:9" ht="15">
      <c r="A65" s="7"/>
      <c r="B65" s="9"/>
      <c r="C65" s="5"/>
      <c r="F65" s="5"/>
      <c r="G65" s="5"/>
      <c r="H65" s="5"/>
      <c r="I65" s="5"/>
    </row>
  </sheetData>
  <sheetProtection/>
  <printOptions/>
  <pageMargins left="0.7" right="0.7" top="0.75" bottom="0.75" header="0.3" footer="0.3"/>
  <pageSetup fitToHeight="7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Competitive Housing Tax Credits Awards and Waiting List July 28</dc:title>
  <dc:subject>2016 competitive housing tax credit program</dc:subject>
  <dc:creator>TDHCA</dc:creator>
  <cp:keywords>Competitive Housing Tax Credits Awards and Waiting List</cp:keywords>
  <dc:description/>
  <cp:lastModifiedBy>Jason Burr</cp:lastModifiedBy>
  <cp:lastPrinted>2016-07-21T21:47:03Z</cp:lastPrinted>
  <dcterms:created xsi:type="dcterms:W3CDTF">2014-02-28T23:59:24Z</dcterms:created>
  <dcterms:modified xsi:type="dcterms:W3CDTF">2016-07-28T20:33:07Z</dcterms:modified>
  <cp:category/>
  <cp:version/>
  <cp:contentType/>
  <cp:contentStatus/>
</cp:coreProperties>
</file>